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cmddelaw\Desktop\EXE ARPA\"/>
    </mc:Choice>
  </mc:AlternateContent>
  <xr:revisionPtr revIDLastSave="0" documentId="8_{4A023877-86EA-4D1D-84EB-128E713286DD}" xr6:coauthVersionLast="47" xr6:coauthVersionMax="47" xr10:uidLastSave="{00000000-0000-0000-0000-000000000000}"/>
  <bookViews>
    <workbookView xWindow="26235" yWindow="2505" windowWidth="22725" windowHeight="11055" activeTab="1" xr2:uid="{55EC1B0D-1097-446A-83BB-237C741EB1C8}"/>
  </bookViews>
  <sheets>
    <sheet name="Overview" sheetId="4" r:id="rId1"/>
    <sheet name="ARPA Update" sheetId="1" r:id="rId2"/>
    <sheet name="Sheet1" sheetId="7" state="hidden" r:id="rId3"/>
    <sheet name="QCT Maps" sheetId="6" state="hidden" r:id="rId4"/>
    <sheet name="Proposed Projects" sheetId="2" state="hidden" r:id="rId5"/>
    <sheet name="Sub-Recipient Risk Assessment" sheetId="5" state="hidden" r:id="rId6"/>
    <sheet name="ARPA Expenditure Accounts" sheetId="3"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 i="1" l="1"/>
  <c r="W45" i="1"/>
  <c r="W28" i="1"/>
  <c r="W21" i="1"/>
  <c r="W41" i="1"/>
  <c r="W29" i="1"/>
  <c r="Z47" i="1"/>
  <c r="Y47" i="1"/>
  <c r="V47" i="1"/>
  <c r="U47" i="1"/>
  <c r="W20" i="1"/>
  <c r="W30" i="1"/>
  <c r="W42" i="1"/>
  <c r="W32" i="1"/>
  <c r="W14" i="1"/>
  <c r="W31" i="1"/>
  <c r="Q30" i="1"/>
  <c r="W47" i="1" l="1"/>
  <c r="AC46" i="1"/>
  <c r="AC45" i="1"/>
  <c r="AC44" i="1"/>
  <c r="AC43" i="1"/>
  <c r="AC42" i="1"/>
  <c r="AC41" i="1"/>
  <c r="AC40" i="1"/>
  <c r="AC35" i="1"/>
  <c r="AC39" i="1"/>
  <c r="AC38" i="1"/>
  <c r="AC37" i="1"/>
  <c r="AC36" i="1"/>
  <c r="AC34" i="1"/>
  <c r="AC33" i="1"/>
  <c r="AC30" i="1"/>
  <c r="AC26" i="1"/>
  <c r="AC25" i="1"/>
  <c r="AC24" i="1"/>
  <c r="AC23" i="1"/>
  <c r="AC22" i="1"/>
  <c r="AC21" i="1"/>
  <c r="AC19" i="1"/>
  <c r="AC18" i="1"/>
  <c r="AC17" i="1"/>
  <c r="AC16" i="1"/>
  <c r="AC15" i="1"/>
  <c r="AC14" i="1"/>
  <c r="AC13" i="1"/>
  <c r="AC10" i="1"/>
  <c r="AC9" i="1"/>
  <c r="AC8" i="1"/>
  <c r="AC7" i="1"/>
  <c r="AC6" i="1"/>
  <c r="AB41" i="1"/>
  <c r="AA5" i="1"/>
  <c r="AA46" i="1"/>
  <c r="AA45" i="1"/>
  <c r="AA44" i="1"/>
  <c r="AA43" i="1"/>
  <c r="AA42" i="1"/>
  <c r="AA41" i="1"/>
  <c r="AA47" i="1" s="1"/>
  <c r="AA40" i="1"/>
  <c r="AA35" i="1"/>
  <c r="AA39" i="1"/>
  <c r="AA38" i="1"/>
  <c r="AA37" i="1"/>
  <c r="AA36" i="1"/>
  <c r="AA34" i="1"/>
  <c r="AA33" i="1"/>
  <c r="AA32" i="1"/>
  <c r="AA31" i="1"/>
  <c r="AA30" i="1"/>
  <c r="AA29" i="1"/>
  <c r="AA28" i="1"/>
  <c r="AA26" i="1"/>
  <c r="AA25" i="1"/>
  <c r="AA23" i="1"/>
  <c r="AA22" i="1"/>
  <c r="AA21" i="1"/>
  <c r="AA20" i="1"/>
  <c r="AA19" i="1"/>
  <c r="AA18" i="1"/>
  <c r="AA17" i="1"/>
  <c r="AA16" i="1"/>
  <c r="AA15" i="1"/>
  <c r="AA14" i="1"/>
  <c r="AA13" i="1"/>
  <c r="AA12" i="1"/>
  <c r="AA11" i="1"/>
  <c r="AA10" i="1"/>
  <c r="AA9" i="1"/>
  <c r="AA8" i="1"/>
  <c r="AA7" i="1"/>
  <c r="AA6" i="1"/>
  <c r="Q32" i="1"/>
  <c r="AC32" i="1" s="1"/>
  <c r="Q29" i="1"/>
  <c r="AC29" i="1" s="1"/>
  <c r="B26" i="7"/>
  <c r="Q31" i="1"/>
  <c r="AC31" i="1" s="1"/>
  <c r="R46" i="1"/>
  <c r="S46" i="1" s="1"/>
  <c r="X46" i="1" s="1"/>
  <c r="AD46" i="1" s="1"/>
  <c r="AE46" i="1" s="1"/>
  <c r="R45" i="1"/>
  <c r="S45" i="1" s="1"/>
  <c r="X45" i="1" s="1"/>
  <c r="AD45" i="1" s="1"/>
  <c r="R44" i="1"/>
  <c r="S44" i="1" s="1"/>
  <c r="X44" i="1" s="1"/>
  <c r="AD44" i="1" s="1"/>
  <c r="R42" i="1"/>
  <c r="S42" i="1" s="1"/>
  <c r="X42" i="1" s="1"/>
  <c r="AD42" i="1" s="1"/>
  <c r="R41" i="1"/>
  <c r="S41" i="1" s="1"/>
  <c r="X41" i="1" s="1"/>
  <c r="AD41" i="1" s="1"/>
  <c r="N46" i="1"/>
  <c r="AB46" i="1" s="1"/>
  <c r="N45" i="1"/>
  <c r="AB45" i="1" s="1"/>
  <c r="N44" i="1"/>
  <c r="AB44" i="1" s="1"/>
  <c r="N43" i="1"/>
  <c r="AB43" i="1" s="1"/>
  <c r="N42" i="1"/>
  <c r="AB42" i="1" s="1"/>
  <c r="N41" i="1"/>
  <c r="R43" i="1"/>
  <c r="S43" i="1" s="1"/>
  <c r="X43" i="1" s="1"/>
  <c r="AD43" i="1" s="1"/>
  <c r="Q28" i="1"/>
  <c r="AC28" i="1" s="1"/>
  <c r="AE42" i="1" l="1"/>
  <c r="AE44" i="1"/>
  <c r="AE45" i="1"/>
  <c r="AE41" i="1"/>
  <c r="AE43" i="1"/>
  <c r="N40" i="1"/>
  <c r="AB40" i="1" s="1"/>
  <c r="N35" i="1"/>
  <c r="AB35" i="1" s="1"/>
  <c r="N39" i="1"/>
  <c r="AB39" i="1" s="1"/>
  <c r="N38" i="1"/>
  <c r="AB38" i="1" s="1"/>
  <c r="N37" i="1"/>
  <c r="AB37" i="1" s="1"/>
  <c r="N36" i="1"/>
  <c r="AB36" i="1" s="1"/>
  <c r="R36" i="1"/>
  <c r="S36" i="1" s="1"/>
  <c r="X36" i="1" s="1"/>
  <c r="AD36" i="1" s="1"/>
  <c r="R37" i="1"/>
  <c r="S37" i="1" s="1"/>
  <c r="X37" i="1" s="1"/>
  <c r="AD37" i="1" s="1"/>
  <c r="R38" i="1"/>
  <c r="S38" i="1" s="1"/>
  <c r="X38" i="1" s="1"/>
  <c r="AD38" i="1" s="1"/>
  <c r="R39" i="1"/>
  <c r="S39" i="1" s="1"/>
  <c r="X39" i="1" s="1"/>
  <c r="AD39" i="1" s="1"/>
  <c r="R35" i="1"/>
  <c r="S35" i="1" s="1"/>
  <c r="X35" i="1" s="1"/>
  <c r="AD35" i="1" s="1"/>
  <c r="R40" i="1"/>
  <c r="S40" i="1" s="1"/>
  <c r="X40" i="1" s="1"/>
  <c r="AD40" i="1" s="1"/>
  <c r="P47" i="1"/>
  <c r="O24" i="1"/>
  <c r="AA24" i="1" s="1"/>
  <c r="E20" i="2"/>
  <c r="AE36" i="1" l="1"/>
  <c r="AE39" i="1"/>
  <c r="AE37" i="1"/>
  <c r="AE40" i="1"/>
  <c r="AE35" i="1"/>
  <c r="AE38" i="1"/>
  <c r="Q12" i="1" l="1"/>
  <c r="AC12" i="1" s="1"/>
  <c r="N30" i="1"/>
  <c r="AB30" i="1" s="1"/>
  <c r="Q20" i="1"/>
  <c r="AC20" i="1" s="1"/>
  <c r="R30" i="1" l="1"/>
  <c r="R34" i="1"/>
  <c r="S34" i="1" s="1"/>
  <c r="X34" i="1" s="1"/>
  <c r="AD34" i="1" s="1"/>
  <c r="R33" i="1"/>
  <c r="S33" i="1" s="1"/>
  <c r="X33" i="1" s="1"/>
  <c r="AD33" i="1" s="1"/>
  <c r="R32" i="1"/>
  <c r="S32" i="1" s="1"/>
  <c r="X32" i="1" s="1"/>
  <c r="AD32" i="1" s="1"/>
  <c r="R29" i="1"/>
  <c r="S29" i="1" s="1"/>
  <c r="X29" i="1" s="1"/>
  <c r="AD29" i="1" s="1"/>
  <c r="R26" i="1"/>
  <c r="R25" i="1"/>
  <c r="S25" i="1" s="1"/>
  <c r="X25" i="1" s="1"/>
  <c r="AD25" i="1" s="1"/>
  <c r="R24" i="1"/>
  <c r="S24" i="1" s="1"/>
  <c r="X24" i="1" s="1"/>
  <c r="AD24" i="1" s="1"/>
  <c r="R23" i="1"/>
  <c r="S23" i="1" s="1"/>
  <c r="X23" i="1" s="1"/>
  <c r="AD23" i="1" s="1"/>
  <c r="R9" i="1"/>
  <c r="S9" i="1" s="1"/>
  <c r="X9" i="1" s="1"/>
  <c r="AD9" i="1" s="1"/>
  <c r="R8" i="1"/>
  <c r="S8" i="1" s="1"/>
  <c r="X8" i="1" s="1"/>
  <c r="AD8" i="1" s="1"/>
  <c r="R7" i="1"/>
  <c r="S7" i="1" s="1"/>
  <c r="X7" i="1" s="1"/>
  <c r="AD7" i="1" s="1"/>
  <c r="R6" i="1"/>
  <c r="S6" i="1" s="1"/>
  <c r="X6" i="1" s="1"/>
  <c r="AD6" i="1" s="1"/>
  <c r="N34" i="1"/>
  <c r="AB34" i="1" s="1"/>
  <c r="N33" i="1"/>
  <c r="AB33" i="1" s="1"/>
  <c r="N32" i="1"/>
  <c r="AB32" i="1" s="1"/>
  <c r="N31" i="1"/>
  <c r="AB31" i="1" s="1"/>
  <c r="Q5" i="1"/>
  <c r="AC5" i="1" s="1"/>
  <c r="S30" i="1" l="1"/>
  <c r="X30" i="1" s="1"/>
  <c r="AD30" i="1" s="1"/>
  <c r="AE30" i="1" s="1"/>
  <c r="S26" i="1"/>
  <c r="X26" i="1" s="1"/>
  <c r="AD26" i="1" s="1"/>
  <c r="AE26" i="1" s="1"/>
  <c r="AE34" i="1"/>
  <c r="AE9" i="1"/>
  <c r="AE33" i="1"/>
  <c r="AE32" i="1"/>
  <c r="AE7" i="1"/>
  <c r="AE8" i="1"/>
  <c r="AE24" i="1"/>
  <c r="AE25" i="1"/>
  <c r="AE6" i="1"/>
  <c r="AE29" i="1"/>
  <c r="R28" i="1"/>
  <c r="S28" i="1" s="1"/>
  <c r="X28" i="1" s="1"/>
  <c r="AD28" i="1" s="1"/>
  <c r="AE23" i="1"/>
  <c r="R31" i="1"/>
  <c r="Q47" i="1"/>
  <c r="E11" i="2"/>
  <c r="L7" i="1"/>
  <c r="S31" i="1" l="1"/>
  <c r="X31" i="1" s="1"/>
  <c r="AD31" i="1" s="1"/>
  <c r="AE31" i="1" s="1"/>
  <c r="AE28" i="1"/>
  <c r="N7" i="1"/>
  <c r="AB7" i="1" s="1"/>
  <c r="J47" i="1"/>
  <c r="L21" i="1"/>
  <c r="M21" i="1" s="1"/>
  <c r="AD3" i="1"/>
  <c r="N21" i="1" l="1"/>
  <c r="AB21" i="1" s="1"/>
  <c r="R21" i="1"/>
  <c r="L29" i="1"/>
  <c r="N29" i="1" s="1"/>
  <c r="AB29" i="1" s="1"/>
  <c r="L28" i="1"/>
  <c r="N28" i="1" s="1"/>
  <c r="AB28" i="1" s="1"/>
  <c r="L26" i="1"/>
  <c r="N26" i="1" s="1"/>
  <c r="AB26" i="1" s="1"/>
  <c r="L25" i="1"/>
  <c r="N25" i="1" s="1"/>
  <c r="AB25" i="1" s="1"/>
  <c r="L24" i="1"/>
  <c r="N24" i="1" s="1"/>
  <c r="AB24" i="1" s="1"/>
  <c r="L23" i="1"/>
  <c r="N23" i="1" s="1"/>
  <c r="AB23" i="1" s="1"/>
  <c r="L22" i="1"/>
  <c r="M22" i="1" s="1"/>
  <c r="L20" i="1"/>
  <c r="M20" i="1" s="1"/>
  <c r="L19" i="1"/>
  <c r="M19" i="1" s="1"/>
  <c r="L18" i="1"/>
  <c r="L17" i="1"/>
  <c r="L16" i="1"/>
  <c r="L15" i="1"/>
  <c r="L14" i="1"/>
  <c r="M14" i="1" s="1"/>
  <c r="L13" i="1"/>
  <c r="M13" i="1" s="1"/>
  <c r="L12" i="1"/>
  <c r="M12" i="1" s="1"/>
  <c r="K11" i="1"/>
  <c r="L10" i="1"/>
  <c r="L9" i="1"/>
  <c r="L8" i="1"/>
  <c r="L6" i="1"/>
  <c r="L5" i="1"/>
  <c r="AC11" i="1" l="1"/>
  <c r="AC47" i="1" s="1"/>
  <c r="AE61" i="1" s="1"/>
  <c r="S21" i="1"/>
  <c r="X21" i="1" s="1"/>
  <c r="AD21" i="1" s="1"/>
  <c r="AE21" i="1" s="1"/>
  <c r="N12" i="1"/>
  <c r="AB12" i="1" s="1"/>
  <c r="R12" i="1"/>
  <c r="S12" i="1" s="1"/>
  <c r="X12" i="1" s="1"/>
  <c r="AD12" i="1" s="1"/>
  <c r="N13" i="1"/>
  <c r="AB13" i="1" s="1"/>
  <c r="R13" i="1"/>
  <c r="S13" i="1" s="1"/>
  <c r="X13" i="1" s="1"/>
  <c r="AD13" i="1" s="1"/>
  <c r="N14" i="1"/>
  <c r="AB14" i="1" s="1"/>
  <c r="R14" i="1"/>
  <c r="S14" i="1" s="1"/>
  <c r="X14" i="1" s="1"/>
  <c r="AD14" i="1" s="1"/>
  <c r="N19" i="1"/>
  <c r="AB19" i="1" s="1"/>
  <c r="R19" i="1"/>
  <c r="S19" i="1" s="1"/>
  <c r="X19" i="1" s="1"/>
  <c r="AD19" i="1" s="1"/>
  <c r="N20" i="1"/>
  <c r="AB20" i="1" s="1"/>
  <c r="R20" i="1"/>
  <c r="S20" i="1" s="1"/>
  <c r="X20" i="1" s="1"/>
  <c r="AD20" i="1" s="1"/>
  <c r="N22" i="1"/>
  <c r="AB22" i="1" s="1"/>
  <c r="R22" i="1"/>
  <c r="S22" i="1" s="1"/>
  <c r="X22" i="1" s="1"/>
  <c r="AD22" i="1" s="1"/>
  <c r="N6" i="1"/>
  <c r="AB6" i="1" s="1"/>
  <c r="N8" i="1"/>
  <c r="AB8" i="1" s="1"/>
  <c r="N9" i="1"/>
  <c r="AB9" i="1" s="1"/>
  <c r="M15" i="1"/>
  <c r="M16" i="1"/>
  <c r="M5" i="1"/>
  <c r="M17" i="1"/>
  <c r="M18" i="1"/>
  <c r="M10" i="1"/>
  <c r="D7" i="4"/>
  <c r="K47" i="1"/>
  <c r="L11" i="1"/>
  <c r="M11" i="1" s="1"/>
  <c r="N11" i="1" s="1"/>
  <c r="AB11" i="1" s="1"/>
  <c r="N17" i="1" l="1"/>
  <c r="AB17" i="1" s="1"/>
  <c r="R17" i="1"/>
  <c r="S17" i="1" s="1"/>
  <c r="X17" i="1" s="1"/>
  <c r="AD17" i="1" s="1"/>
  <c r="N5" i="1"/>
  <c r="AB5" i="1" s="1"/>
  <c r="R5" i="1"/>
  <c r="S5" i="1" s="1"/>
  <c r="N16" i="1"/>
  <c r="AB16" i="1" s="1"/>
  <c r="R16" i="1"/>
  <c r="N15" i="1"/>
  <c r="AB15" i="1" s="1"/>
  <c r="R15" i="1"/>
  <c r="S15" i="1" s="1"/>
  <c r="X15" i="1" s="1"/>
  <c r="AD15" i="1" s="1"/>
  <c r="AE22" i="1"/>
  <c r="AE19" i="1"/>
  <c r="AE14" i="1"/>
  <c r="AE20" i="1"/>
  <c r="R11" i="1"/>
  <c r="AE13" i="1"/>
  <c r="N10" i="1"/>
  <c r="AB10" i="1" s="1"/>
  <c r="R10" i="1"/>
  <c r="S10" i="1" s="1"/>
  <c r="X10" i="1" s="1"/>
  <c r="AD10" i="1" s="1"/>
  <c r="N18" i="1"/>
  <c r="AB18" i="1" s="1"/>
  <c r="R18" i="1"/>
  <c r="S18" i="1" s="1"/>
  <c r="X18" i="1" s="1"/>
  <c r="AD18" i="1" s="1"/>
  <c r="AE12" i="1"/>
  <c r="O47" i="1"/>
  <c r="M47" i="1"/>
  <c r="L47" i="1"/>
  <c r="D6" i="4"/>
  <c r="D8" i="4" s="1"/>
  <c r="AG49" i="1"/>
  <c r="S11" i="1" l="1"/>
  <c r="X11" i="1" s="1"/>
  <c r="AD11" i="1" s="1"/>
  <c r="AE11" i="1" s="1"/>
  <c r="S16" i="1"/>
  <c r="X16" i="1" s="1"/>
  <c r="AD16" i="1" s="1"/>
  <c r="AE16" i="1" s="1"/>
  <c r="X5" i="1"/>
  <c r="AB47" i="1"/>
  <c r="N47" i="1"/>
  <c r="AE15" i="1"/>
  <c r="AE18" i="1"/>
  <c r="AE52" i="1" s="1"/>
  <c r="R47" i="1"/>
  <c r="AE17" i="1"/>
  <c r="E7" i="4"/>
  <c r="S47" i="1" l="1"/>
  <c r="X47" i="1"/>
  <c r="AD5" i="1"/>
  <c r="AE5" i="1" s="1"/>
  <c r="T47" i="1"/>
  <c r="F7" i="4"/>
  <c r="G7" i="4" s="1"/>
  <c r="AD47" i="1"/>
  <c r="AE62" i="1" s="1"/>
  <c r="AE10" i="1"/>
  <c r="AE55" i="1" s="1"/>
  <c r="AG55" i="1" l="1"/>
  <c r="AE54" i="1"/>
  <c r="F6" i="4" s="1"/>
  <c r="AE47" i="1"/>
  <c r="E6" i="4"/>
  <c r="AD49" i="1"/>
  <c r="AE56" i="1" l="1"/>
  <c r="AE58" i="1" s="1"/>
  <c r="G6" i="4"/>
  <c r="G8" i="4" s="1"/>
  <c r="F8" i="4"/>
  <c r="E8" i="4"/>
  <c r="AD50" i="1"/>
</calcChain>
</file>

<file path=xl/sharedStrings.xml><?xml version="1.0" encoding="utf-8"?>
<sst xmlns="http://schemas.openxmlformats.org/spreadsheetml/2006/main" count="1091" uniqueCount="368">
  <si>
    <t>Project ID / Description</t>
  </si>
  <si>
    <t>Type of Project</t>
  </si>
  <si>
    <t>Added to Plan?</t>
  </si>
  <si>
    <t>MOU on File?</t>
  </si>
  <si>
    <t>ARPA Use/Category</t>
  </si>
  <si>
    <t>ARPA Category Description/Sub-Category</t>
  </si>
  <si>
    <t>Total Appropriations</t>
  </si>
  <si>
    <t>2023 Claims</t>
  </si>
  <si>
    <t>Total Project Claims</t>
  </si>
  <si>
    <t>Current Unspent Appropriations</t>
  </si>
  <si>
    <t>Notes</t>
  </si>
  <si>
    <t>1   48000 ARPA Brine System</t>
  </si>
  <si>
    <t>Internal</t>
  </si>
  <si>
    <t>Yes</t>
  </si>
  <si>
    <t>No, not needed</t>
  </si>
  <si>
    <t>Infrastructure</t>
  </si>
  <si>
    <t>Clean Water: Stormwater (5.6)</t>
  </si>
  <si>
    <t>Up front Grant</t>
  </si>
  <si>
    <t>Public Health and Economic Response</t>
  </si>
  <si>
    <t>Long-term Housing Security: Services for Unhoused Persons (2.16)</t>
  </si>
  <si>
    <t>4   36703 ARPA Pre-Kdg Readiness Program</t>
  </si>
  <si>
    <t>Healthy Childhood Environments: Early Learning (2.14)</t>
  </si>
  <si>
    <t>5   36704 ARPA Sojourn House Renov Proj</t>
  </si>
  <si>
    <t>Reimbursable</t>
  </si>
  <si>
    <t>Community Violence Interventions (1.11)</t>
  </si>
  <si>
    <t>6   36705/60100 ARPA COVID Vaccine Incentive</t>
  </si>
  <si>
    <t>COVID-19 Vaccination (1.1)</t>
  </si>
  <si>
    <t>7   19900 ARPA Retention Bonus</t>
  </si>
  <si>
    <t>Public Sector Workforce; Other (3.3)</t>
  </si>
  <si>
    <t>8   36706 ARPA Osage Place</t>
  </si>
  <si>
    <t>Long-term Housing Security: Affordable Housing (2.15)</t>
  </si>
  <si>
    <t>9   36707 ARPA Wastewater Monitoring</t>
  </si>
  <si>
    <t>Up front followed by monthly pmts</t>
  </si>
  <si>
    <t>Pending Contract</t>
  </si>
  <si>
    <t>COVID-19 Testing (1.2)</t>
  </si>
  <si>
    <t>Healthy Childhood Environments: Child Care (2.11)</t>
  </si>
  <si>
    <t>10b   36708 ARPA Childcare Ivy Tech</t>
  </si>
  <si>
    <t>11   36709 ARPA Rural Housing Repair</t>
  </si>
  <si>
    <t>Undetermined</t>
  </si>
  <si>
    <t>No</t>
  </si>
  <si>
    <t>Strong Healthy Communities: Demolition and Rehabilitation of Properties (2.23)</t>
  </si>
  <si>
    <t>12   48001 ARPA Rural Transit (6 Buses)</t>
  </si>
  <si>
    <t>Assistance to Impacted Nonprofit Organizations (Impacted or Disproportionately Impacted) (2.34)</t>
  </si>
  <si>
    <t>14   48003 ARPA MCFPD (Ambulances &amp; Equip)</t>
  </si>
  <si>
    <t>Other COVID-19 Public Health Expenses (including Communications, Enforcement, Isolation/Quarantine) (1.7)</t>
  </si>
  <si>
    <t>Lost Revenue</t>
  </si>
  <si>
    <t>Provision of Government Services (6.1)</t>
  </si>
  <si>
    <t>17   29000 ARPA Sharps Disposal Boxes</t>
  </si>
  <si>
    <t>Substance Use Services (1.13)</t>
  </si>
  <si>
    <t>18   36710 ARPA Septic Assistance</t>
  </si>
  <si>
    <t>21   48006 ARPA Paving/Drainage Projects</t>
  </si>
  <si>
    <t>22   36714 ARPA Program Support</t>
  </si>
  <si>
    <t>Administrative</t>
  </si>
  <si>
    <t>Lost revenue or Infrastructure</t>
  </si>
  <si>
    <t>Less red cells</t>
  </si>
  <si>
    <t>Project Description</t>
  </si>
  <si>
    <t>ARPA Use/ Category</t>
  </si>
  <si>
    <t>Proposed Appropriation Amount</t>
  </si>
  <si>
    <t xml:space="preserve">Food Justice (People's Market) </t>
  </si>
  <si>
    <t>Centerstone 4 projects</t>
  </si>
  <si>
    <t>Gun Safes</t>
  </si>
  <si>
    <t>Food for Hoosier Hills</t>
  </si>
  <si>
    <t>Assistance to Households/Communities/ Foodbank</t>
  </si>
  <si>
    <t>Funding for BEDC</t>
  </si>
  <si>
    <t>Assistance to Unemployed or Underemployed Workers (2.1)</t>
  </si>
  <si>
    <t xml:space="preserve">From Chris with Baker-Tilly: After reading through the proposal, I believe the best fit category would be 2.10 Assistance to Unemployed or Underemployed Workers. BEDC would be a subrecipient in this case, a grant agreement and monitoring activities would be required. The program lists the focus to be on low-or-moderate income households and the unemployed, both of which are presumed “impacted” by the pandemic. The only concern I have is that the proposed budget covers three years, the award has to be obligated by 12/31/2024. There are a couple of items on the budget that I’m not sure about, specifically $350,000 for “Support for partner organization programs” and the $15,000 for life science receptions for higher education students. More detail should be provided to the county related to these items to determine if they are allowable expenses of the federal award. </t>
  </si>
  <si>
    <t>TBD</t>
  </si>
  <si>
    <t>Total Spent or Appropriated or Obligated w/out Red Cells</t>
  </si>
  <si>
    <t xml:space="preserve"> </t>
  </si>
  <si>
    <t>N/A</t>
  </si>
  <si>
    <t>Total ARPA Award</t>
  </si>
  <si>
    <t>Administrative Expenses (7.1)</t>
  </si>
  <si>
    <t>Clean water: Decentralized water (5.3)</t>
  </si>
  <si>
    <t>From Chris with Baker-Tilly: Reviewing the proposal,  I believe that the $300,000 for permanent supportive housing programs would fall in the “affordable housing” category instead of the behavioral health category, which would have income/impact requirements. However, those experiencing homelessness qualify as “impacted” by the pandemic which was mentioned in the narrative.</t>
  </si>
  <si>
    <t>Subtotals:</t>
  </si>
  <si>
    <t>2a  236700 ARPA Heading Home/Housing 1st</t>
  </si>
  <si>
    <t>10a  36708 ARPA Childcare New Hope</t>
  </si>
  <si>
    <t>Non-fed Match for Other Fed Prog (6.2)</t>
  </si>
  <si>
    <t>Paving</t>
  </si>
  <si>
    <t>Written Justification on File?</t>
  </si>
  <si>
    <t>Written Justification Required?
(Over 1 million)</t>
  </si>
  <si>
    <t>Funding for Impacted Non-Profits</t>
  </si>
  <si>
    <t>Assistance to Non-Profits</t>
  </si>
  <si>
    <t>See form to project details. Chris with BakerTilly will review when back in office.</t>
  </si>
  <si>
    <t>New Leaf New Life</t>
  </si>
  <si>
    <t>Summit Hill Early Learning Center</t>
  </si>
  <si>
    <t>Video documenting ARPA Fund Projects</t>
  </si>
  <si>
    <t>Airport: 
Funding to Add Amenities at the Airport
Funding Generators for Runway Lights at the Airport</t>
  </si>
  <si>
    <t>Ivy Tech Nursing</t>
  </si>
  <si>
    <t>Turf for Karst Farm Park</t>
  </si>
  <si>
    <t>Public Health</t>
  </si>
  <si>
    <t>Behavioral Health AND Long-term Housing Security: Affordable Housing</t>
  </si>
  <si>
    <t>Revenue Replacement</t>
  </si>
  <si>
    <t>Ivy Tech Early Childhood Education</t>
  </si>
  <si>
    <t>Negative Economic Impacts</t>
  </si>
  <si>
    <t xml:space="preserve">From Chris with Bater-Tilly: Treasury FAQ 2.11 and 2.16 (included below) support that funds can be used to support increasing the number of individuals working in the field of early education. As long as the scholarships are granted to an individual that is a member of an impacted class this program would be eligible for that category.  The Whitehouse also released a statement which supports that SLFRF funds can be utilized in this way. Section B. is the relevant section which relates to the proposed project. </t>
  </si>
  <si>
    <t>From Ivy Tech: "Our top priority is to expand our existing skills lab, which serves as the primary training space
for nursing students enrolled in the Registered Nursing or Practical Nursing program. By enhancing this
lab, we could ensure that students receive comprehensive skills training that prepares them for
successful careers in nursing and other healthcare fields. Local employers benefit from this investment
as well as students complete their lab training within the first 8 weeks, making them immediately
qualified for various entry-level positions. This list below is not exhaustive, and it does not include
construction costs of a new skills lab on campus (we are currently awaiting final estimates). However, it
is worth noting that ARPA funding could cover these construction expenses as well."</t>
  </si>
  <si>
    <t>Provision of Government Services (6.1) AND Assistance to Households: Food Programs</t>
  </si>
  <si>
    <t>Revenue Replacement AND Negative Economic Impacts</t>
  </si>
  <si>
    <t>$48,000 in sponsored food boxes qualify under Negative Economic Impacts as long as all recipients are impacted/disproportionately impacted class.
Revenue Replacement for remainder</t>
  </si>
  <si>
    <t>Behavioral Health</t>
  </si>
  <si>
    <t>Affordable Housing AND Child Care</t>
  </si>
  <si>
    <t>This innovative project combines a childcare facility (first floor) consisting of three classrooms serving children ages zero to three and three affordable two-bedroom apartments serving &lt;50 AMI on the second floor. An empty lot at 1020 N. Monroe St. has been contributed by the City of Bloomington and groundbreaking is scheduled for the fall of this year.</t>
  </si>
  <si>
    <t>Revenue Replacement AND Infrastructure</t>
  </si>
  <si>
    <t>Provision of Government Services (6.1) AND Water/Sewer and Broadband</t>
  </si>
  <si>
    <t xml:space="preserve">Generator Project: From Chris with Baker-Tilly: Could this be related to drainage or storm water? If not, the only eligible category would be revenue loss. As a department of the County, the airport would not qualify for aid under this category as any lost revenue should be addressed by “revenue loss” funds. In general, category can be used to cover costs related to aid given to mitigate financial hardship, technical assistance, counseling, or other services to support business planning, or COVID-19 mitigation and infection prevention measures. Capital expenditures aren’t eligible for this category. </t>
  </si>
  <si>
    <t>Provision of Government Services</t>
  </si>
  <si>
    <t>Surface Transportation</t>
  </si>
  <si>
    <t>If all options in Karst proposal were funded, cost would be appx. $5.5 million; less could be funded with ARPA if chosen. Proposal also included FAB and GO Bond funding requests.</t>
  </si>
  <si>
    <t>Land Trust</t>
  </si>
  <si>
    <t>Summit Hill Community Land Trust</t>
  </si>
  <si>
    <t>Affordable Housing</t>
  </si>
  <si>
    <t>2b  236700 ARPA Heading Home/Housing 1st (LR)</t>
  </si>
  <si>
    <t>16   48005 APRA Solar Projects (LR)</t>
  </si>
  <si>
    <t>19   36711 ARPA Fairground Wireless Internet (LR)</t>
  </si>
  <si>
    <t>24   36715 ARPA IU Disability Survey Prog (LR)</t>
  </si>
  <si>
    <t>25   36716 ARPA Karst Wireless Internet (LR)</t>
  </si>
  <si>
    <t>Acct</t>
  </si>
  <si>
    <t>Description</t>
  </si>
  <si>
    <t>Type</t>
  </si>
  <si>
    <t>DLGF/SBOA Account</t>
  </si>
  <si>
    <t>DLGF/SBOA Description</t>
  </si>
  <si>
    <t>Status</t>
  </si>
  <si>
    <t>NEC 1099</t>
  </si>
  <si>
    <t>Rent 1099</t>
  </si>
  <si>
    <t>Int 1099</t>
  </si>
  <si>
    <t>19900</t>
  </si>
  <si>
    <t>ARPA Retention Bonus</t>
  </si>
  <si>
    <t>Normal</t>
  </si>
  <si>
    <t>D106</t>
  </si>
  <si>
    <t>Other Personal Services</t>
  </si>
  <si>
    <t>Active</t>
  </si>
  <si>
    <t>False</t>
  </si>
  <si>
    <t>29000</t>
  </si>
  <si>
    <t>ARPA Sharps Disposal Boxes</t>
  </si>
  <si>
    <t>D204</t>
  </si>
  <si>
    <t>Other Supplies</t>
  </si>
  <si>
    <t>36700</t>
  </si>
  <si>
    <t>ARPA Heading Home (LR 100k)</t>
  </si>
  <si>
    <t>D312</t>
  </si>
  <si>
    <t>Other Services and Charges</t>
  </si>
  <si>
    <t>True</t>
  </si>
  <si>
    <t>36701</t>
  </si>
  <si>
    <t>ARPA Brine System</t>
  </si>
  <si>
    <t>36702</t>
  </si>
  <si>
    <t>ARPA CJRC Administrator Srvcs</t>
  </si>
  <si>
    <t>D301</t>
  </si>
  <si>
    <t>Professional Services</t>
  </si>
  <si>
    <t>36703</t>
  </si>
  <si>
    <t>ARPA Pre-Kdg Readiness Program</t>
  </si>
  <si>
    <t>36704</t>
  </si>
  <si>
    <t>ARPA Sojourn House Renov Proj</t>
  </si>
  <si>
    <t>36705</t>
  </si>
  <si>
    <t>ARPA COVID Vaccine Incentive</t>
  </si>
  <si>
    <t>36706</t>
  </si>
  <si>
    <t>ARPA Osage Place</t>
  </si>
  <si>
    <t>36707</t>
  </si>
  <si>
    <t>ARPA Wastewater Monitoring</t>
  </si>
  <si>
    <t>36708</t>
  </si>
  <si>
    <t>ARPA Childcare</t>
  </si>
  <si>
    <t>36709</t>
  </si>
  <si>
    <t>ARPA Rural Housing Repair</t>
  </si>
  <si>
    <t>36710</t>
  </si>
  <si>
    <t>ARPA Septic Assistance</t>
  </si>
  <si>
    <t>36711</t>
  </si>
  <si>
    <t>ARPA Fairground Wireless (LR)</t>
  </si>
  <si>
    <t>36712</t>
  </si>
  <si>
    <t>ARPA Community Asst-Foundation</t>
  </si>
  <si>
    <t>36713</t>
  </si>
  <si>
    <t>ARPA Perm Sup Housing Initativ</t>
  </si>
  <si>
    <t>36714</t>
  </si>
  <si>
    <t>ARPA Program Support</t>
  </si>
  <si>
    <t>36715</t>
  </si>
  <si>
    <t>ARPA IU Disability Survey (LR)</t>
  </si>
  <si>
    <t>36716</t>
  </si>
  <si>
    <t>ARPA Karst Wireless (LR)</t>
  </si>
  <si>
    <t>37418</t>
  </si>
  <si>
    <t>ARPA Bicentennial Pathway (LR)</t>
  </si>
  <si>
    <t>D506</t>
  </si>
  <si>
    <t>Construction</t>
  </si>
  <si>
    <t>48000</t>
  </si>
  <si>
    <t>48001</t>
  </si>
  <si>
    <t>ARPA Rural Transit (Buses)</t>
  </si>
  <si>
    <t>D505</t>
  </si>
  <si>
    <t>Machinery, Equipment, and Vehicles</t>
  </si>
  <si>
    <t>48002</t>
  </si>
  <si>
    <t>ARPA HHFB (Trailer)</t>
  </si>
  <si>
    <t>48003</t>
  </si>
  <si>
    <t>ARPA MFPD (Ambulances &amp; Equip)</t>
  </si>
  <si>
    <t>48004</t>
  </si>
  <si>
    <t>ARPA Conv Center Improve (LR)</t>
  </si>
  <si>
    <t>48005</t>
  </si>
  <si>
    <t>ARPA Solar Projects (LR)</t>
  </si>
  <si>
    <t>48006</t>
  </si>
  <si>
    <t>ARPA Paving/Drainage Projects</t>
  </si>
  <si>
    <t>D502</t>
  </si>
  <si>
    <t>Award Amount</t>
  </si>
  <si>
    <t>Total Appropriated (not spent)</t>
  </si>
  <si>
    <t>Total Claims</t>
  </si>
  <si>
    <t>Amount to Appropriate</t>
  </si>
  <si>
    <t>ARPA/SLFRF Restricted Funds</t>
  </si>
  <si>
    <t>ARPA/SLFRF Lost Revenue Funds</t>
  </si>
  <si>
    <t>Totals</t>
  </si>
  <si>
    <t>ARPA/SLFRF Funding Summary</t>
  </si>
  <si>
    <t>2022 Appropriation</t>
  </si>
  <si>
    <t>2022 Claims</t>
  </si>
  <si>
    <t>Unspent 2022 Appropriation</t>
  </si>
  <si>
    <t>2023 Appropriations</t>
  </si>
  <si>
    <t>2023 De-appropriations</t>
  </si>
  <si>
    <t>2022 Actions</t>
  </si>
  <si>
    <t>Unspent 2023 Appropriations</t>
  </si>
  <si>
    <t>2023 Actions</t>
  </si>
  <si>
    <t>Total Reversions/
De-appropriations</t>
  </si>
  <si>
    <t>2022 Reversions</t>
  </si>
  <si>
    <t>2023 Reversions</t>
  </si>
  <si>
    <t>23b   37418 Bicentennial Pathway Construct (LR)</t>
  </si>
  <si>
    <t>23a   37418 Bicentennial Pathway Construct (LR)</t>
  </si>
  <si>
    <t>Adopted Budget</t>
  </si>
  <si>
    <t>Lost Revenue Total
(Cannot Exceed $10,000,000)</t>
  </si>
  <si>
    <t>Total Budgeted</t>
  </si>
  <si>
    <t>Infrastructure (Surface Transportation/Title I) Total
(Cannot Exceed $10,000,000)</t>
  </si>
  <si>
    <t>3   36702 ARPA CJRC Administrator Srvcs (LR)</t>
  </si>
  <si>
    <t>Infrastructure (Sewer, Water, Broadband) Total</t>
  </si>
  <si>
    <t>*All ARPA dollars must be contractually obligated by 12/31/2024.</t>
  </si>
  <si>
    <r>
      <rPr>
        <b/>
        <sz val="11"/>
        <rFont val="Calibri"/>
        <family val="2"/>
      </rPr>
      <t xml:space="preserve">Completed: </t>
    </r>
    <r>
      <rPr>
        <sz val="11"/>
        <rFont val="Calibri"/>
        <family val="2"/>
      </rPr>
      <t>Payment submitted to Fairgrounds for reimbursement.</t>
    </r>
  </si>
  <si>
    <r>
      <rPr>
        <b/>
        <sz val="11"/>
        <rFont val="Calibri"/>
        <family val="2"/>
      </rPr>
      <t>Completed:</t>
    </r>
    <r>
      <rPr>
        <sz val="11"/>
        <rFont val="Calibri"/>
        <family val="2"/>
      </rPr>
      <t xml:space="preserve"> The County issued a payment to Hoosier Hills Food Bank on 10/11/2023.</t>
    </r>
  </si>
  <si>
    <r>
      <rPr>
        <b/>
        <sz val="11"/>
        <rFont val="Calibri"/>
        <family val="2"/>
      </rPr>
      <t xml:space="preserve">In Progress: </t>
    </r>
    <r>
      <rPr>
        <sz val="11"/>
        <rFont val="Calibri"/>
        <family val="2"/>
      </rPr>
      <t>Work is ongoing. Confirmation was received from the Highway Director stating that all work in this project pertains to stormwater correction.</t>
    </r>
  </si>
  <si>
    <r>
      <rPr>
        <b/>
        <sz val="11"/>
        <rFont val="Calibri"/>
        <family val="2"/>
      </rPr>
      <t xml:space="preserve">Completed: </t>
    </r>
    <r>
      <rPr>
        <sz val="11"/>
        <rFont val="Calibri"/>
        <family val="2"/>
      </rPr>
      <t>The unspent portion was de-appropriated at 9/12/2023 meeting. (De-appropriation in 36705 is different than what is reflected in Low due to the fund 60100 claim in 2022 for vaccine incentives paid out of a different fund prior to the ARPA appropriation. Low: $466,552)</t>
    </r>
  </si>
  <si>
    <r>
      <rPr>
        <b/>
        <sz val="11"/>
        <rFont val="Calibri"/>
        <family val="2"/>
      </rPr>
      <t xml:space="preserve">Completed: </t>
    </r>
    <r>
      <rPr>
        <sz val="11"/>
        <rFont val="Calibri"/>
        <family val="2"/>
      </rPr>
      <t>The unspent portion was de-appropriated at 9/12/2023 meeting.</t>
    </r>
  </si>
  <si>
    <r>
      <rPr>
        <b/>
        <sz val="11"/>
        <rFont val="Calibri"/>
        <family val="2"/>
      </rPr>
      <t>Completed:</t>
    </r>
    <r>
      <rPr>
        <sz val="11"/>
        <rFont val="Calibri"/>
        <family val="2"/>
      </rPr>
      <t xml:space="preserve"> $300,000 spent on New Hope kitchen.</t>
    </r>
  </si>
  <si>
    <r>
      <rPr>
        <b/>
        <sz val="11"/>
        <rFont val="Calibri"/>
        <family val="2"/>
      </rPr>
      <t>Cancelled:</t>
    </r>
    <r>
      <rPr>
        <sz val="11"/>
        <rFont val="Calibri"/>
        <family val="2"/>
      </rPr>
      <t xml:space="preserve"> This project was de-appropriated at the 9/12/2023 meeting.</t>
    </r>
  </si>
  <si>
    <t>15   48004 ARPA Convention Center Improvements Phase 1 (non-HVAC Expenses) (LR)</t>
  </si>
  <si>
    <t>Jail Transition</t>
  </si>
  <si>
    <t xml:space="preserve">Expense proposed would cover the cost of transiting from old to new correctional facility. </t>
  </si>
  <si>
    <t xml:space="preserve">Highway would like funding for paving. </t>
  </si>
  <si>
    <t>20   36713 ARPA Perm Sup Housing Initiative (Beacon)</t>
  </si>
  <si>
    <r>
      <rPr>
        <b/>
        <sz val="11"/>
        <rFont val="Calibri"/>
        <family val="2"/>
      </rPr>
      <t>Completed:</t>
    </r>
    <r>
      <rPr>
        <sz val="11"/>
        <rFont val="Calibri"/>
        <family val="2"/>
      </rPr>
      <t xml:space="preserve"> The unspent portion was reverted at the end of 2022. </t>
    </r>
  </si>
  <si>
    <t>ARPA Award Less Total Adopted Budget
(Remaining Amount to Appropriate)</t>
  </si>
  <si>
    <t>27 29001 ARPA Gun Safes</t>
  </si>
  <si>
    <t>28 37489 ARPA People's Market (Food)</t>
  </si>
  <si>
    <t>29 37486 ARPA Pantry 279 (Food)</t>
  </si>
  <si>
    <t>30 37487 ARPA HHFB (Food)</t>
  </si>
  <si>
    <t>32 37488 ARPA Community Kitchen (Food)</t>
  </si>
  <si>
    <t>33 48007 ARPA Summit Hill Child Care</t>
  </si>
  <si>
    <t>Sub-Recipient</t>
  </si>
  <si>
    <t>Recipient</t>
  </si>
  <si>
    <t>Direct Payments to Employees</t>
  </si>
  <si>
    <t>Recipient Classification</t>
  </si>
  <si>
    <t>N/A (Cancelled)</t>
  </si>
  <si>
    <t>Direct Beneficiary</t>
  </si>
  <si>
    <t>26   36712 ARPA Community Asst-Foundation</t>
  </si>
  <si>
    <t>13   48002 ARPA HHFB (Trailer)</t>
  </si>
  <si>
    <t>Direct Payments to Contractors/Vendors</t>
  </si>
  <si>
    <t>See email from Carley to Bri on 11/1/2023.</t>
  </si>
  <si>
    <t>General Auditor's Office to-do List:</t>
  </si>
  <si>
    <t>Auditor's Office to-do List</t>
  </si>
  <si>
    <t>Perform desk audits for all entities that need them.</t>
  </si>
  <si>
    <t>Complete risk assessments.</t>
  </si>
  <si>
    <t>31 37491 ARPA Smart Start (Community Foundation)</t>
  </si>
  <si>
    <t>Risk Assessments are only needed for sub-recipients. Mark "Yes" for Sub-recipients and "No" for recipients, direct payment, cancelled projects, and direct beneficiaries.</t>
  </si>
  <si>
    <t>Has the sub-recipient filled out the sub-recipient monitoring questionnaire?</t>
  </si>
  <si>
    <t>Has the County completed the risk assessment?</t>
  </si>
  <si>
    <t>Sub-Recipient Risk Assessment Monitoring</t>
  </si>
  <si>
    <t>What is the risk determination for the sub-recipient?</t>
  </si>
  <si>
    <t>No, will be cancelled</t>
  </si>
  <si>
    <t>No, pending email to Wendi</t>
  </si>
  <si>
    <t>Moderate</t>
  </si>
  <si>
    <r>
      <rPr>
        <b/>
        <sz val="11"/>
        <rFont val="Calibri"/>
        <family val="2"/>
      </rPr>
      <t xml:space="preserve">Completed: </t>
    </r>
    <r>
      <rPr>
        <sz val="11"/>
        <rFont val="Calibri"/>
        <family val="2"/>
      </rPr>
      <t>All employees should have received their final retention bonus on 10/20/2023. De-appropriation occurred at the 11/14/2023 Council meeting.</t>
    </r>
  </si>
  <si>
    <r>
      <rPr>
        <b/>
        <sz val="11"/>
        <rFont val="Calibri"/>
        <family val="2"/>
      </rPr>
      <t xml:space="preserve">Cancelled: </t>
    </r>
    <r>
      <rPr>
        <sz val="11"/>
        <rFont val="Calibri"/>
        <family val="2"/>
      </rPr>
      <t>The mortgage company does not agree with the deed restriction.  De-appropriation occurred at the 11/14/2023 Council meeting.</t>
    </r>
  </si>
  <si>
    <t>Waiting for permission to request their 990 and possible a new proposal that includes a pandemic impact being addressed.</t>
  </si>
  <si>
    <r>
      <rPr>
        <b/>
        <sz val="11"/>
        <rFont val="Calibri"/>
        <family val="2"/>
      </rPr>
      <t xml:space="preserve">Completed: </t>
    </r>
    <r>
      <rPr>
        <sz val="11"/>
        <rFont val="Calibri"/>
        <family val="2"/>
      </rPr>
      <t>This project is being classified within a restricted category as a Direct Beneficiary because HHFB is a 501(c)3, is on the edge of a QCT, and operates within the QCT.</t>
    </r>
  </si>
  <si>
    <r>
      <rPr>
        <b/>
        <sz val="11"/>
        <rFont val="Calibri"/>
        <family val="2"/>
      </rPr>
      <t xml:space="preserve">Completed: </t>
    </r>
    <r>
      <rPr>
        <sz val="11"/>
        <rFont val="Calibri"/>
        <family val="2"/>
      </rPr>
      <t>This project is being classified as LR because Pantry 279 did not experience revenue loss due to COVID-19, they do not operate within a QCT, and they cannot provide a measurable way to determine the impacted individuals being served.</t>
    </r>
  </si>
  <si>
    <t>The Auditor's Office would like an itemized list from Baker Tilly of all documents needed for sub-recipients, recipients, beneficiaries, vendors, and contractors.</t>
  </si>
  <si>
    <t>2023 and 2024 Small DDAs and QCTs | HUD USER</t>
  </si>
  <si>
    <t>Qualified Census Tract Map:</t>
  </si>
  <si>
    <t>2023 Qualified Census Tracts</t>
  </si>
  <si>
    <t>2024 Qualified Census Tracts</t>
  </si>
  <si>
    <t>15   48004 ARPA Convention Center Improvements Phase 1</t>
  </si>
  <si>
    <t xml:space="preserve">Review documentation and confirm necessary information has been obtained. </t>
  </si>
  <si>
    <t xml:space="preserve">Update to MOU should include different categories of funding utilized. </t>
  </si>
  <si>
    <t>What is needed for documentation? Update to MOU and Plan only?</t>
  </si>
  <si>
    <t>Does the county have all necessary documentation?</t>
  </si>
  <si>
    <t>Bri to review email from Carley.</t>
  </si>
  <si>
    <t xml:space="preserve">Confirm county has documentation appropriately. </t>
  </si>
  <si>
    <t xml:space="preserve">What is needed for documentation? </t>
  </si>
  <si>
    <t>Any other documentation needed for file?</t>
  </si>
  <si>
    <t xml:space="preserve">I think we have the documentation needed on this one but a final review necessary. </t>
  </si>
  <si>
    <t xml:space="preserve">The commissioners' office stated the county is going to begin with the Health Department's failing septic list. A formal procedure should be established. </t>
  </si>
  <si>
    <t>Anything necessary other than contract, addition to plan , invoices, and proof of payment?</t>
  </si>
  <si>
    <t>What documentation is necessary?</t>
  </si>
  <si>
    <t>What does the county need to document?</t>
  </si>
  <si>
    <t>Determine what, if any, documentation is necessary other than MOU and addition to plan.</t>
  </si>
  <si>
    <t>NOTE UPDATE: Need to obtain a budget for the $700,000 allocated between the funding for the childcare facility and rental units.</t>
  </si>
  <si>
    <r>
      <rPr>
        <b/>
        <sz val="11"/>
        <rFont val="Calibri"/>
        <family val="2"/>
      </rPr>
      <t>Completed:</t>
    </r>
    <r>
      <rPr>
        <sz val="11"/>
        <rFont val="Calibri"/>
        <family val="2"/>
      </rPr>
      <t xml:space="preserve"> All funds spent; project complete. This project will be categorized as Lost Revenue because bidding did not occur.</t>
    </r>
  </si>
  <si>
    <t>Confirmation of what documentation is needed is also necessary.</t>
  </si>
  <si>
    <t>23b   37419 Bicentennial Pathway Construct (LR)</t>
  </si>
  <si>
    <t>Restricted Non-Infrastructure Total</t>
  </si>
  <si>
    <t>2022 Encumbrances</t>
  </si>
  <si>
    <t>2023 Encumbrances</t>
  </si>
  <si>
    <t xml:space="preserve">Review of file to ensure documentation and understanding of project is correct. </t>
  </si>
  <si>
    <t xml:space="preserve">I believe Trustees will determine financial eligibility based on ARPA restrictions. I believe applications will be forwarded to the commissioners' office for processing. Formal procedure must be established prior to moving forward with funding. </t>
  </si>
  <si>
    <t>Auditor's Office will need to determine necessary documentation.</t>
  </si>
  <si>
    <t xml:space="preserve">Auditor's Office needs to review necessary documentation and obtain. </t>
  </si>
  <si>
    <t>1. Figure out how are we executing this project. i.e. are we giving money to another organization to buy/distribute the safes or are we buying /distributing internally? 
2. Execute suggestions from Chris's email on 11/2/23.</t>
  </si>
  <si>
    <t>33 36719 ARPA Jail Transitional Director</t>
  </si>
  <si>
    <t>35 48007 ARPA Summit Hill Housing</t>
  </si>
  <si>
    <t>34 36721 ARPA Rural Transit Bus Service</t>
  </si>
  <si>
    <t>36 48008 ARPA Housing Infrastructure</t>
  </si>
  <si>
    <t>37 48009 ARPA Karst Farm Park Fields Project</t>
  </si>
  <si>
    <t>38 48010 ARPA Airport Stormwater Drainage</t>
  </si>
  <si>
    <t>Yes, MOU on file</t>
  </si>
  <si>
    <t>MOU/Contract on file?</t>
  </si>
  <si>
    <t>Scope of Work document on file</t>
  </si>
  <si>
    <t>I believe the Commissioner's Office has a procedure on file. I have not seen it.</t>
  </si>
  <si>
    <t>Yes, contract on file</t>
  </si>
  <si>
    <t>Maybe?</t>
  </si>
  <si>
    <t>Some, not all.</t>
  </si>
  <si>
    <t>=May be able to encumber</t>
  </si>
  <si>
    <t>=Cannot encumber</t>
  </si>
  <si>
    <t>=Can encumber</t>
  </si>
  <si>
    <t>Color Key</t>
  </si>
  <si>
    <t>2024 Appropriations</t>
  </si>
  <si>
    <t>2024 De-appropriations</t>
  </si>
  <si>
    <t>2024 Claims</t>
  </si>
  <si>
    <t>2024 Actions</t>
  </si>
  <si>
    <t>Unspent 2024 Appropriations</t>
  </si>
  <si>
    <t>2024 Encumbrances</t>
  </si>
  <si>
    <t>2024 Reversions</t>
  </si>
  <si>
    <t>2024 New Appropriations</t>
  </si>
  <si>
    <t>2023 New Appropriations</t>
  </si>
  <si>
    <t>Re-appropriating in 2025? (Yes/No)</t>
  </si>
  <si>
    <t>Re-appropriating in 2024? (if yes, enter 2023 unspent appropriation amt)</t>
  </si>
  <si>
    <t>Long-term housing security: Affordable housing (2.15)</t>
  </si>
  <si>
    <t>Household Assistance Food Programs (2.1)</t>
  </si>
  <si>
    <t>26a   36712 ARPA Community Asst-Foundation</t>
  </si>
  <si>
    <t>26b 37491 ARPA Smart Start (Community Foundation)</t>
  </si>
  <si>
    <t>Cash Balance</t>
  </si>
  <si>
    <t>Unexpended Appropriations</t>
  </si>
  <si>
    <t>Auditor Double Check (compare #'s below to ledger)</t>
  </si>
  <si>
    <r>
      <rPr>
        <b/>
        <sz val="11"/>
        <rFont val="Calibri"/>
        <family val="2"/>
      </rPr>
      <t>Completed:</t>
    </r>
    <r>
      <rPr>
        <sz val="11"/>
        <rFont val="Calibri"/>
        <family val="2"/>
      </rPr>
      <t xml:space="preserve"> United Way awarded $100k to Bloomington Housing Authority. United Way also has $400k in renovations/other expenses that do not meet the restricted requirements. This award is categorized as Lost Revenue and requires a separate project line.</t>
    </r>
  </si>
  <si>
    <r>
      <rPr>
        <b/>
        <sz val="11"/>
        <rFont val="Calibri"/>
        <family val="2"/>
      </rPr>
      <t xml:space="preserve">Completed: </t>
    </r>
    <r>
      <rPr>
        <sz val="11"/>
        <rFont val="Calibri"/>
        <family val="2"/>
      </rPr>
      <t>This project is complete.</t>
    </r>
  </si>
  <si>
    <r>
      <rPr>
        <b/>
        <sz val="11"/>
        <rFont val="Calibri"/>
        <family val="2"/>
      </rPr>
      <t>In Progress:</t>
    </r>
    <r>
      <rPr>
        <sz val="11"/>
        <rFont val="Calibri"/>
        <family val="2"/>
      </rPr>
      <t xml:space="preserve"> Application period is open payments are being submitted to vendors. In rare ocasions, homeowners may be reimbursed for material costs when installing materials without use of a vendor. These appropriated funds will need to be fully expended by 12/31/2024, as the obligation occurs when the vendor is paid.</t>
    </r>
  </si>
  <si>
    <r>
      <rPr>
        <b/>
        <sz val="11"/>
        <rFont val="Calibri"/>
        <family val="2"/>
      </rPr>
      <t>In Progress:</t>
    </r>
    <r>
      <rPr>
        <sz val="11"/>
        <rFont val="Calibri"/>
        <family val="2"/>
      </rPr>
      <t xml:space="preserve"> Multiple reimbursements have been submitted to MCFPD; additional requests will be forthcoming. 100% obligated via MOU to MCFPD on 12/14/2022.</t>
    </r>
  </si>
  <si>
    <r>
      <rPr>
        <b/>
        <sz val="11"/>
        <rFont val="Calibri"/>
        <family val="2"/>
      </rPr>
      <t xml:space="preserve">In Progress/Pending Action: </t>
    </r>
    <r>
      <rPr>
        <sz val="11"/>
        <rFont val="Calibri"/>
        <family val="2"/>
      </rPr>
      <t>Spending is falling behind the submitted budget. After expense review by Baker Tilly, many expenses do not fit the restricted category and will be moved to the unrestricted category. Official numbers will be provided in the coming weeks. A revised budget and MOU amendment is needed.
100% obligated via MOU to United Way on 5/4/2022.</t>
    </r>
  </si>
  <si>
    <r>
      <rPr>
        <b/>
        <sz val="11"/>
        <rFont val="Calibri"/>
        <family val="2"/>
      </rPr>
      <t>In Progress:</t>
    </r>
    <r>
      <rPr>
        <sz val="11"/>
        <rFont val="Calibri"/>
        <family val="2"/>
      </rPr>
      <t xml:space="preserve"> Phase 1 infrastructure is mostly complete and funded. They plan to use ARPA funds for Phase 2, which will likely start in the summer of 2024.
100% obligated via MOU to Osage on 12/14/2022.</t>
    </r>
  </si>
  <si>
    <t>Obligation Needed?</t>
  </si>
  <si>
    <r>
      <rPr>
        <b/>
        <sz val="11"/>
        <rFont val="Calibri"/>
        <family val="2"/>
      </rPr>
      <t xml:space="preserve">In Progress: </t>
    </r>
    <r>
      <rPr>
        <sz val="11"/>
        <rFont val="Calibri"/>
        <family val="2"/>
      </rPr>
      <t>The agreement effective date is 10/1/2023.
100% obligated via Contract with IU on 8/30/2023</t>
    </r>
  </si>
  <si>
    <r>
      <rPr>
        <b/>
        <sz val="11"/>
        <rFont val="Calibri"/>
        <family val="2"/>
      </rPr>
      <t xml:space="preserve">In Progress: </t>
    </r>
    <r>
      <rPr>
        <sz val="11"/>
        <rFont val="Calibri"/>
        <family val="2"/>
      </rPr>
      <t>100% obligated via contract with MPI Solar LLC on 1/31/2024.</t>
    </r>
  </si>
  <si>
    <r>
      <rPr>
        <b/>
        <sz val="11"/>
        <rFont val="Calibri"/>
        <family val="2"/>
      </rPr>
      <t xml:space="preserve">Completed: </t>
    </r>
    <r>
      <rPr>
        <sz val="11"/>
        <rFont val="Calibri"/>
        <family val="2"/>
      </rPr>
      <t>Payment submitted to Beacon.</t>
    </r>
  </si>
  <si>
    <r>
      <rPr>
        <b/>
        <sz val="11"/>
        <rFont val="Calibri"/>
        <family val="2"/>
      </rPr>
      <t xml:space="preserve">In Progress: </t>
    </r>
    <r>
      <rPr>
        <sz val="11"/>
        <rFont val="Calibri"/>
        <family val="2"/>
      </rPr>
      <t>Contract with Baker Tilly signed. Work will be ongoing.
100% obligated via contract with Baker Tilly on 5/17/2023.</t>
    </r>
  </si>
  <si>
    <r>
      <rPr>
        <b/>
        <sz val="11"/>
        <rFont val="Calibri"/>
        <family val="2"/>
      </rPr>
      <t xml:space="preserve">In Progress: </t>
    </r>
    <r>
      <rPr>
        <sz val="11"/>
        <rFont val="Calibri"/>
        <family val="2"/>
      </rPr>
      <t>Contract with IU signed in May by Commissioners and June by IU.
100% obligated via contract with IU on 6/28/2023.</t>
    </r>
  </si>
  <si>
    <r>
      <t>Completed:</t>
    </r>
    <r>
      <rPr>
        <sz val="11"/>
        <rFont val="Calibri"/>
        <family val="2"/>
      </rPr>
      <t xml:space="preserve"> Payment issued to vendor.</t>
    </r>
  </si>
  <si>
    <r>
      <rPr>
        <b/>
        <sz val="11"/>
        <rFont val="Calibri"/>
        <family val="2"/>
      </rPr>
      <t xml:space="preserve">Completed: </t>
    </r>
    <r>
      <rPr>
        <sz val="11"/>
        <rFont val="Calibri"/>
        <family val="2"/>
      </rPr>
      <t>This project is being classified as LR because People's Market is not a 501c3. Although they are sponsored by a 501c3, it is safer to issue payment out of LR.</t>
    </r>
  </si>
  <si>
    <r>
      <t xml:space="preserve">In Progress: </t>
    </r>
    <r>
      <rPr>
        <sz val="11"/>
        <rFont val="Calibri"/>
        <family val="2"/>
      </rPr>
      <t>100% obligated via contract with Cory Grass on 12/12/2023.</t>
    </r>
  </si>
  <si>
    <r>
      <t xml:space="preserve">In Progress: </t>
    </r>
    <r>
      <rPr>
        <sz val="11"/>
        <rFont val="Calibri"/>
        <family val="2"/>
      </rPr>
      <t>100% obligated via contract with Area 10 on 12/20/2023.</t>
    </r>
  </si>
  <si>
    <r>
      <rPr>
        <b/>
        <sz val="11"/>
        <rFont val="Calibri"/>
        <family val="2"/>
      </rPr>
      <t xml:space="preserve">In Progress: </t>
    </r>
    <r>
      <rPr>
        <sz val="11"/>
        <rFont val="Calibri"/>
        <family val="2"/>
      </rPr>
      <t xml:space="preserve">The Commissioner's Office has determined this project will be all lost revenue. A total of </t>
    </r>
    <r>
      <rPr>
        <b/>
        <sz val="11"/>
        <rFont val="Calibri"/>
        <family val="2"/>
      </rPr>
      <t>$834,747.86 has been obligated</t>
    </r>
    <r>
      <rPr>
        <sz val="11"/>
        <rFont val="Calibri"/>
        <family val="2"/>
      </rPr>
      <t xml:space="preserve"> to seven vendors. </t>
    </r>
    <r>
      <rPr>
        <b/>
        <sz val="11"/>
        <rFont val="Calibri"/>
        <family val="2"/>
      </rPr>
      <t>$224,252.14 still needs to be obligated</t>
    </r>
    <r>
      <rPr>
        <sz val="11"/>
        <rFont val="Calibri"/>
        <family val="2"/>
      </rPr>
      <t xml:space="preserve"> prior to 12/31/2024.</t>
    </r>
  </si>
  <si>
    <r>
      <rPr>
        <b/>
        <sz val="11"/>
        <rFont val="Calibri"/>
        <family val="2"/>
      </rPr>
      <t xml:space="preserve">Completed: </t>
    </r>
    <r>
      <rPr>
        <sz val="11"/>
        <rFont val="Calibri"/>
        <family val="2"/>
      </rPr>
      <t>This is the  20% match portion of expenses for Bicentennial Pathway. This project is complete. The unexpended cash needs to be de-appropriated.</t>
    </r>
  </si>
  <si>
    <r>
      <rPr>
        <b/>
        <sz val="11"/>
        <rFont val="Calibri"/>
        <family val="2"/>
      </rPr>
      <t xml:space="preserve">Completed: </t>
    </r>
    <r>
      <rPr>
        <sz val="11"/>
        <rFont val="Calibri"/>
        <family val="2"/>
      </rPr>
      <t>This is the non-match portion of expenses for Bicentennial Pathway. This project is complete. The unexpended cash needs to be de-appropriated.</t>
    </r>
  </si>
  <si>
    <r>
      <rPr>
        <b/>
        <sz val="11"/>
        <rFont val="Calibri"/>
        <family val="2"/>
      </rPr>
      <t>Pending Action:</t>
    </r>
    <r>
      <rPr>
        <sz val="11"/>
        <rFont val="Calibri"/>
        <family val="2"/>
      </rPr>
      <t xml:space="preserve"> Due to the reporting requirements and the extensive monitoring that may be required with a sub-recipient relationship surrounding the housing portion of this project, the Commissioners' Office asked to move this project to LR. Waiting for a procedure/MOU. The MOU has been drafted and it is obligation is anticipated to be complete at the 6/26/2024 Commissioner meeting.</t>
    </r>
  </si>
  <si>
    <r>
      <rPr>
        <b/>
        <sz val="11"/>
        <rFont val="Calibri"/>
        <family val="2"/>
      </rPr>
      <t xml:space="preserve">Pending Action: </t>
    </r>
    <r>
      <rPr>
        <sz val="11"/>
        <rFont val="Calibri"/>
        <family val="2"/>
      </rPr>
      <t>The actual cost of the project is $93,236.96. Commissioners &amp; Council need to discuss next steps.</t>
    </r>
  </si>
  <si>
    <t>ARPA Status 6/17/2024</t>
  </si>
  <si>
    <t>These values are based upon current appropriations and categorized expenses as of 6/17/2024.</t>
  </si>
  <si>
    <r>
      <t xml:space="preserve">Pending Action: </t>
    </r>
    <r>
      <rPr>
        <sz val="11"/>
        <rFont val="Calibri"/>
        <family val="2"/>
      </rPr>
      <t>It appears that this project will not be feasible due to COB restrictions. Commissioners &amp; Council need to discuss. An invoice for $12,455 is anticipated to be submitted for the work already performed.</t>
    </r>
  </si>
  <si>
    <r>
      <rPr>
        <b/>
        <sz val="11"/>
        <rFont val="Calibri"/>
        <family val="2"/>
      </rPr>
      <t xml:space="preserve">In Progress: </t>
    </r>
    <r>
      <rPr>
        <sz val="11"/>
        <rFont val="Calibri"/>
        <family val="2"/>
      </rPr>
      <t>Per Parks Department, the contract will go to bid in July and be signed prior to 12/31/2024.</t>
    </r>
  </si>
  <si>
    <r>
      <rPr>
        <b/>
        <sz val="11"/>
        <rFont val="Calibri"/>
        <family val="2"/>
      </rPr>
      <t>Pending Action:</t>
    </r>
    <r>
      <rPr>
        <sz val="11"/>
        <rFont val="Calibri"/>
        <family val="2"/>
      </rPr>
      <t xml:space="preserve"> Waiting for a procedure. The Health Department estimates between 7,000-14,000 failing septic systems in Monroe County. Quotes for this project are in progress.</t>
    </r>
  </si>
  <si>
    <r>
      <t>Cancelled:</t>
    </r>
    <r>
      <rPr>
        <sz val="11"/>
        <rFont val="Calibri"/>
        <family val="2"/>
      </rPr>
      <t xml:space="preserve"> This project was de-appropriated at the 9/12/2023 meeting.</t>
    </r>
  </si>
  <si>
    <r>
      <rPr>
        <b/>
        <sz val="11"/>
        <rFont val="Calibri"/>
        <family val="2"/>
      </rPr>
      <t>In Progress:</t>
    </r>
    <r>
      <rPr>
        <sz val="11"/>
        <rFont val="Calibri"/>
        <family val="2"/>
      </rPr>
      <t xml:space="preserve"> 200 cable locks and 6 pistol lock boxes were purchased on 4/3/2024. This appropriation may need to be reduced. (What about $10k?)</t>
    </r>
  </si>
  <si>
    <r>
      <rPr>
        <b/>
        <sz val="11"/>
        <rFont val="Calibri"/>
        <family val="2"/>
      </rPr>
      <t xml:space="preserve">In Progress: </t>
    </r>
    <r>
      <rPr>
        <sz val="11"/>
        <rFont val="Calibri"/>
        <family val="2"/>
      </rPr>
      <t>The review is complete. Council and Commissioners need to determine next steps for this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</si>
</sst>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sz val="12"/>
      <name val="Calibri"/>
      <family val="2"/>
    </font>
    <font>
      <b/>
      <sz val="11"/>
      <name val="Calibri"/>
      <family val="2"/>
    </font>
    <font>
      <sz val="11"/>
      <name val="Calibri"/>
      <family val="2"/>
    </font>
    <font>
      <b/>
      <sz val="12"/>
      <name val="Calibri"/>
      <family val="2"/>
    </font>
    <font>
      <b/>
      <sz val="14"/>
      <name val="Calibri"/>
      <family val="2"/>
    </font>
    <font>
      <b/>
      <sz val="10"/>
      <name val="Calibri"/>
      <family val="2"/>
    </font>
    <font>
      <sz val="10"/>
      <name val="Calibri"/>
      <family val="2"/>
    </font>
    <font>
      <sz val="8"/>
      <color rgb="FF000000"/>
      <name val="Segoe UI"/>
      <family val="2"/>
    </font>
    <font>
      <sz val="11"/>
      <color theme="0"/>
      <name val="Calibri"/>
      <family val="2"/>
    </font>
    <font>
      <b/>
      <sz val="12"/>
      <color theme="1"/>
      <name val="Calibri"/>
      <family val="2"/>
      <scheme val="minor"/>
    </font>
    <font>
      <b/>
      <sz val="24"/>
      <color theme="1"/>
      <name val="Calibri"/>
      <family val="2"/>
      <scheme val="minor"/>
    </font>
    <font>
      <sz val="12"/>
      <color theme="1"/>
      <name val="Calibri"/>
      <family val="2"/>
      <scheme val="minor"/>
    </font>
    <font>
      <sz val="14"/>
      <color theme="1"/>
      <name val="Calibri"/>
      <family val="2"/>
      <scheme val="minor"/>
    </font>
    <font>
      <u/>
      <sz val="11"/>
      <color theme="10"/>
      <name val="Calibri"/>
      <family val="2"/>
      <scheme val="minor"/>
    </font>
    <font>
      <b/>
      <sz val="16"/>
      <color theme="1"/>
      <name val="Calibri"/>
      <family val="2"/>
      <scheme val="minor"/>
    </font>
    <font>
      <b/>
      <u/>
      <sz val="16"/>
      <color theme="10"/>
      <name val="Calibri"/>
      <family val="2"/>
      <scheme val="minor"/>
    </font>
    <font>
      <sz val="11"/>
      <color theme="2" tint="-0.499984740745262"/>
      <name val="Calibri"/>
      <family val="2"/>
    </font>
    <font>
      <sz val="12"/>
      <color theme="2" tint="-0.499984740745262"/>
      <name val="Calibri"/>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8EF7FA"/>
        <bgColor indexed="64"/>
      </patternFill>
    </fill>
    <fill>
      <patternFill patternType="solid">
        <fgColor rgb="FFF0F0F0"/>
        <bgColor rgb="FFF0F0F0"/>
      </patternFill>
    </fill>
    <fill>
      <patternFill patternType="solid">
        <fgColor rgb="FFFFFFFF"/>
        <bgColor rgb="FFFFFFFF"/>
      </patternFill>
    </fill>
    <fill>
      <patternFill patternType="solid">
        <fgColor rgb="FFFFFF00"/>
        <bgColor rgb="FFFFFFFF"/>
      </patternFill>
    </fill>
    <fill>
      <patternFill patternType="solid">
        <fgColor rgb="FFFFABAB"/>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D8BEE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bgColor indexed="64"/>
      </patternFill>
    </fill>
    <fill>
      <patternFill patternType="solid">
        <fgColor theme="1" tint="0.499984740745262"/>
        <bgColor indexed="64"/>
      </patternFill>
    </fill>
    <fill>
      <patternFill patternType="solid">
        <fgColor rgb="FFA3FFC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rgb="FFA0A0A0"/>
      </left>
      <right style="thin">
        <color rgb="FFA0A0A0"/>
      </right>
      <top style="thin">
        <color rgb="FFA0A0A0"/>
      </top>
      <bottom style="thin">
        <color rgb="FFA0A0A0"/>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4" fontId="1" fillId="0" borderId="0" applyFont="0" applyFill="0" applyBorder="0" applyAlignment="0" applyProtection="0"/>
    <xf numFmtId="0" fontId="17" fillId="0" borderId="0" applyNumberFormat="0" applyFill="0" applyBorder="0" applyAlignment="0" applyProtection="0"/>
  </cellStyleXfs>
  <cellXfs count="178">
    <xf numFmtId="0" fontId="0" fillId="0" borderId="0" xfId="0"/>
    <xf numFmtId="0" fontId="4" fillId="2" borderId="0" xfId="0" applyFont="1" applyFill="1"/>
    <xf numFmtId="0" fontId="5" fillId="2" borderId="1" xfId="0" applyFont="1" applyFill="1" applyBorder="1"/>
    <xf numFmtId="44" fontId="6" fillId="2" borderId="1" xfId="1" applyFont="1" applyFill="1" applyBorder="1" applyAlignment="1">
      <alignment vertical="center"/>
    </xf>
    <xf numFmtId="0" fontId="4" fillId="2" borderId="0" xfId="0" applyFont="1" applyFill="1" applyAlignment="1">
      <alignment vertical="center"/>
    </xf>
    <xf numFmtId="0" fontId="6" fillId="2" borderId="0" xfId="0" applyFont="1" applyFill="1" applyAlignment="1">
      <alignment vertical="center"/>
    </xf>
    <xf numFmtId="44" fontId="6" fillId="2" borderId="0" xfId="1" applyFont="1" applyFill="1" applyAlignment="1">
      <alignment vertical="center"/>
    </xf>
    <xf numFmtId="44" fontId="5" fillId="2" borderId="1" xfId="1" applyFont="1" applyFill="1" applyBorder="1" applyAlignment="1">
      <alignment vertical="center"/>
    </xf>
    <xf numFmtId="0" fontId="0" fillId="2" borderId="0" xfId="0" applyFill="1"/>
    <xf numFmtId="0" fontId="9" fillId="3" borderId="1" xfId="0" applyFont="1" applyFill="1" applyBorder="1" applyAlignment="1">
      <alignment vertical="center" wrapText="1"/>
    </xf>
    <xf numFmtId="0" fontId="9" fillId="3" borderId="1" xfId="0" applyFont="1" applyFill="1" applyBorder="1" applyAlignment="1">
      <alignment vertical="center"/>
    </xf>
    <xf numFmtId="44" fontId="9" fillId="3" borderId="1" xfId="1" applyFont="1" applyFill="1" applyBorder="1" applyAlignment="1">
      <alignment vertical="center" wrapText="1"/>
    </xf>
    <xf numFmtId="44" fontId="10" fillId="3" borderId="1" xfId="1" applyFont="1" applyFill="1" applyBorder="1" applyAlignment="1">
      <alignment vertical="center" wrapText="1"/>
    </xf>
    <xf numFmtId="0" fontId="10" fillId="3" borderId="1" xfId="0" applyFont="1" applyFill="1" applyBorder="1" applyAlignment="1">
      <alignment vertical="center" wrapText="1"/>
    </xf>
    <xf numFmtId="0" fontId="3" fillId="2" borderId="1" xfId="0" applyFont="1" applyFill="1" applyBorder="1" applyAlignment="1">
      <alignment horizontal="center" vertical="center"/>
    </xf>
    <xf numFmtId="44" fontId="5" fillId="2" borderId="0" xfId="1" applyFont="1" applyFill="1" applyBorder="1" applyAlignment="1">
      <alignment horizontal="center" vertical="center"/>
    </xf>
    <xf numFmtId="44" fontId="5" fillId="2" borderId="0" xfId="1" applyFont="1" applyFill="1" applyBorder="1" applyAlignment="1">
      <alignment vertical="center"/>
    </xf>
    <xf numFmtId="0" fontId="6" fillId="2" borderId="0" xfId="0" applyFont="1" applyFill="1" applyAlignment="1">
      <alignment vertical="center" wrapText="1"/>
    </xf>
    <xf numFmtId="44" fontId="5" fillId="4" borderId="1" xfId="1" applyFont="1" applyFill="1" applyBorder="1" applyAlignment="1">
      <alignment vertical="center"/>
    </xf>
    <xf numFmtId="0" fontId="8" fillId="2" borderId="0" xfId="0" applyFont="1" applyFill="1" applyAlignment="1">
      <alignment vertical="center" wrapText="1"/>
    </xf>
    <xf numFmtId="44" fontId="6" fillId="5" borderId="1" xfId="1" applyFont="1" applyFill="1" applyBorder="1" applyAlignment="1">
      <alignment vertical="center"/>
    </xf>
    <xf numFmtId="0" fontId="6" fillId="5" borderId="1" xfId="0" applyFont="1" applyFill="1" applyBorder="1" applyAlignment="1">
      <alignment vertical="center" wrapText="1"/>
    </xf>
    <xf numFmtId="0" fontId="6" fillId="5" borderId="1" xfId="0" applyFont="1" applyFill="1" applyBorder="1" applyAlignment="1">
      <alignment vertical="center"/>
    </xf>
    <xf numFmtId="0" fontId="6" fillId="5" borderId="2" xfId="0" applyFont="1" applyFill="1" applyBorder="1" applyAlignment="1">
      <alignment vertical="center" wrapText="1"/>
    </xf>
    <xf numFmtId="44" fontId="5" fillId="5" borderId="1" xfId="1" applyFont="1" applyFill="1" applyBorder="1" applyAlignment="1">
      <alignment vertical="center"/>
    </xf>
    <xf numFmtId="0" fontId="5" fillId="2" borderId="1" xfId="0" applyFont="1" applyFill="1" applyBorder="1" applyAlignment="1">
      <alignment wrapText="1"/>
    </xf>
    <xf numFmtId="0" fontId="11" fillId="6" borderId="7" xfId="0" applyFont="1" applyFill="1" applyBorder="1" applyAlignment="1">
      <alignment horizontal="left" vertical="top" wrapText="1"/>
    </xf>
    <xf numFmtId="0" fontId="11" fillId="6" borderId="7" xfId="0" applyFont="1" applyFill="1" applyBorder="1" applyAlignment="1">
      <alignment horizontal="center" vertical="top" wrapText="1"/>
    </xf>
    <xf numFmtId="0" fontId="11" fillId="7" borderId="0" xfId="0" applyFont="1" applyFill="1" applyAlignment="1">
      <alignment horizontal="left" vertical="top" wrapText="1"/>
    </xf>
    <xf numFmtId="0" fontId="11" fillId="7" borderId="7" xfId="0" applyFont="1" applyFill="1" applyBorder="1" applyAlignment="1">
      <alignment horizontal="left" vertical="top" wrapText="1"/>
    </xf>
    <xf numFmtId="0" fontId="11" fillId="8" borderId="7" xfId="0" applyFont="1" applyFill="1" applyBorder="1" applyAlignment="1">
      <alignment horizontal="left" vertical="top" wrapText="1"/>
    </xf>
    <xf numFmtId="44" fontId="12" fillId="2" borderId="0" xfId="0" applyNumberFormat="1" applyFont="1" applyFill="1" applyAlignment="1">
      <alignment vertical="center"/>
    </xf>
    <xf numFmtId="44" fontId="6" fillId="2" borderId="0" xfId="0" applyNumberFormat="1" applyFont="1" applyFill="1" applyAlignment="1">
      <alignment vertical="center"/>
    </xf>
    <xf numFmtId="0" fontId="15" fillId="5" borderId="1" xfId="0" applyFont="1" applyFill="1" applyBorder="1" applyAlignment="1">
      <alignment vertical="center"/>
    </xf>
    <xf numFmtId="44" fontId="15" fillId="5" borderId="1" xfId="1" applyFont="1" applyFill="1" applyBorder="1" applyAlignment="1">
      <alignment vertical="center"/>
    </xf>
    <xf numFmtId="44" fontId="15" fillId="5" borderId="1" xfId="0" applyNumberFormat="1" applyFont="1" applyFill="1" applyBorder="1" applyAlignment="1">
      <alignment vertical="center"/>
    </xf>
    <xf numFmtId="0" fontId="15" fillId="2" borderId="0" xfId="0" applyFont="1" applyFill="1"/>
    <xf numFmtId="0" fontId="15" fillId="2" borderId="0" xfId="0" applyFont="1" applyFill="1" applyAlignment="1">
      <alignment vertical="center"/>
    </xf>
    <xf numFmtId="0" fontId="15" fillId="2" borderId="1" xfId="0" applyFont="1" applyFill="1" applyBorder="1" applyAlignment="1">
      <alignment vertical="center"/>
    </xf>
    <xf numFmtId="44" fontId="15" fillId="2" borderId="1" xfId="1" applyFont="1" applyFill="1" applyBorder="1" applyAlignment="1">
      <alignment vertical="center"/>
    </xf>
    <xf numFmtId="44" fontId="15" fillId="2" borderId="1" xfId="0" applyNumberFormat="1" applyFont="1" applyFill="1" applyBorder="1" applyAlignment="1">
      <alignment vertical="center"/>
    </xf>
    <xf numFmtId="0" fontId="13" fillId="2" borderId="1" xfId="0" applyFont="1" applyFill="1" applyBorder="1" applyAlignment="1">
      <alignment vertical="center"/>
    </xf>
    <xf numFmtId="44" fontId="13" fillId="2" borderId="1" xfId="1" applyFont="1" applyFill="1" applyBorder="1" applyAlignment="1">
      <alignment vertical="center"/>
    </xf>
    <xf numFmtId="44" fontId="13" fillId="2" borderId="1" xfId="0" applyNumberFormat="1" applyFont="1" applyFill="1" applyBorder="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6" fillId="9" borderId="1" xfId="0" applyFont="1" applyFill="1" applyBorder="1" applyAlignment="1">
      <alignment vertical="center" wrapText="1"/>
    </xf>
    <xf numFmtId="0" fontId="6" fillId="9" borderId="1" xfId="0" applyFont="1" applyFill="1" applyBorder="1" applyAlignment="1">
      <alignment vertical="center"/>
    </xf>
    <xf numFmtId="44" fontId="6" fillId="9" borderId="1" xfId="1" applyFont="1" applyFill="1" applyBorder="1" applyAlignment="1">
      <alignment vertical="center"/>
    </xf>
    <xf numFmtId="44" fontId="5" fillId="9" borderId="1" xfId="1" applyFont="1" applyFill="1" applyBorder="1" applyAlignment="1">
      <alignment vertical="center"/>
    </xf>
    <xf numFmtId="44" fontId="5" fillId="11" borderId="1" xfId="1" applyFont="1" applyFill="1" applyBorder="1" applyAlignment="1">
      <alignment vertical="center"/>
    </xf>
    <xf numFmtId="0" fontId="6" fillId="11" borderId="1" xfId="0" applyFont="1" applyFill="1" applyBorder="1" applyAlignment="1">
      <alignment vertical="center" wrapText="1"/>
    </xf>
    <xf numFmtId="0" fontId="6" fillId="11" borderId="1" xfId="0" applyFont="1" applyFill="1" applyBorder="1" applyAlignment="1">
      <alignment vertical="center"/>
    </xf>
    <xf numFmtId="44" fontId="6" fillId="11" borderId="1" xfId="1" applyFont="1" applyFill="1" applyBorder="1" applyAlignment="1">
      <alignment vertical="center"/>
    </xf>
    <xf numFmtId="0" fontId="4" fillId="11" borderId="1" xfId="0" applyFont="1" applyFill="1" applyBorder="1" applyAlignment="1">
      <alignment horizontal="left" vertical="center" wrapText="1"/>
    </xf>
    <xf numFmtId="44" fontId="5" fillId="0" borderId="0" xfId="1" applyFont="1" applyFill="1" applyBorder="1" applyAlignment="1">
      <alignment vertical="center"/>
    </xf>
    <xf numFmtId="44" fontId="5" fillId="2" borderId="0" xfId="1" applyFont="1" applyFill="1" applyAlignment="1">
      <alignment vertical="center"/>
    </xf>
    <xf numFmtId="0" fontId="5" fillId="2" borderId="0" xfId="0" applyFont="1" applyFill="1" applyAlignment="1">
      <alignment vertical="center"/>
    </xf>
    <xf numFmtId="0" fontId="7" fillId="2" borderId="0" xfId="0" applyFont="1" applyFill="1"/>
    <xf numFmtId="44" fontId="5" fillId="12" borderId="1" xfId="1" applyFont="1" applyFill="1" applyBorder="1" applyAlignment="1">
      <alignment vertical="center"/>
    </xf>
    <xf numFmtId="0" fontId="6" fillId="12" borderId="1" xfId="0" applyFont="1" applyFill="1" applyBorder="1" applyAlignment="1">
      <alignment vertical="center" wrapText="1"/>
    </xf>
    <xf numFmtId="0" fontId="6" fillId="12" borderId="1" xfId="0" applyFont="1" applyFill="1" applyBorder="1" applyAlignment="1">
      <alignment vertical="center"/>
    </xf>
    <xf numFmtId="44" fontId="6" fillId="12" borderId="1" xfId="1" applyFont="1" applyFill="1" applyBorder="1" applyAlignment="1">
      <alignment vertical="center"/>
    </xf>
    <xf numFmtId="0" fontId="4" fillId="12" borderId="1" xfId="0" applyFont="1" applyFill="1" applyBorder="1" applyAlignment="1">
      <alignment horizontal="left" vertical="center" wrapText="1"/>
    </xf>
    <xf numFmtId="0" fontId="5" fillId="13" borderId="1" xfId="0" applyFont="1" applyFill="1" applyBorder="1"/>
    <xf numFmtId="44" fontId="6" fillId="13" borderId="1" xfId="1" applyFont="1" applyFill="1" applyBorder="1" applyAlignment="1">
      <alignment vertical="center"/>
    </xf>
    <xf numFmtId="44" fontId="2" fillId="13" borderId="1" xfId="1" applyFont="1" applyFill="1" applyBorder="1" applyAlignment="1">
      <alignment vertical="center"/>
    </xf>
    <xf numFmtId="0" fontId="5" fillId="14" borderId="1" xfId="0" applyFont="1" applyFill="1" applyBorder="1" applyAlignment="1">
      <alignment wrapText="1"/>
    </xf>
    <xf numFmtId="0" fontId="5" fillId="14" borderId="1" xfId="0" applyFont="1" applyFill="1" applyBorder="1"/>
    <xf numFmtId="44" fontId="6" fillId="14" borderId="1" xfId="1" applyFont="1" applyFill="1" applyBorder="1" applyAlignment="1">
      <alignment vertical="center"/>
    </xf>
    <xf numFmtId="44" fontId="2" fillId="14" borderId="1" xfId="1" applyFont="1" applyFill="1" applyBorder="1" applyAlignment="1">
      <alignment vertical="center"/>
    </xf>
    <xf numFmtId="0" fontId="6" fillId="5" borderId="5" xfId="0" applyFont="1" applyFill="1" applyBorder="1" applyAlignment="1">
      <alignment vertical="center" wrapText="1"/>
    </xf>
    <xf numFmtId="44" fontId="2" fillId="2" borderId="1" xfId="1" applyFont="1" applyFill="1" applyBorder="1" applyAlignment="1">
      <alignment vertical="center"/>
    </xf>
    <xf numFmtId="44" fontId="5" fillId="2" borderId="3" xfId="1" applyFont="1" applyFill="1" applyBorder="1" applyAlignment="1">
      <alignment horizontal="center" vertical="center"/>
    </xf>
    <xf numFmtId="0" fontId="6" fillId="11" borderId="3" xfId="0" applyFont="1" applyFill="1" applyBorder="1" applyAlignment="1">
      <alignment vertical="center" wrapText="1"/>
    </xf>
    <xf numFmtId="0" fontId="6" fillId="11" borderId="3" xfId="0" applyFont="1" applyFill="1" applyBorder="1" applyAlignment="1">
      <alignment vertical="center"/>
    </xf>
    <xf numFmtId="0" fontId="6" fillId="5" borderId="3" xfId="0" applyFont="1" applyFill="1" applyBorder="1" applyAlignment="1">
      <alignment vertical="center" wrapText="1"/>
    </xf>
    <xf numFmtId="0" fontId="6" fillId="5" borderId="3" xfId="0" applyFont="1" applyFill="1" applyBorder="1" applyAlignment="1">
      <alignment vertical="center"/>
    </xf>
    <xf numFmtId="0" fontId="3" fillId="2" borderId="2" xfId="0" applyFont="1" applyFill="1" applyBorder="1" applyAlignment="1">
      <alignment horizontal="center" vertical="center"/>
    </xf>
    <xf numFmtId="0" fontId="4" fillId="5" borderId="1" xfId="0" applyFont="1" applyFill="1" applyBorder="1" applyAlignment="1">
      <alignment horizontal="left" vertical="center" wrapText="1"/>
    </xf>
    <xf numFmtId="44" fontId="2" fillId="2" borderId="0" xfId="1" applyFont="1" applyFill="1" applyBorder="1" applyAlignment="1">
      <alignment vertical="center"/>
    </xf>
    <xf numFmtId="44" fontId="5" fillId="11" borderId="1" xfId="1" applyFont="1" applyFill="1" applyBorder="1" applyAlignment="1">
      <alignment vertical="center" wrapText="1"/>
    </xf>
    <xf numFmtId="44" fontId="6" fillId="2" borderId="1" xfId="1" applyFont="1" applyFill="1" applyBorder="1" applyAlignment="1">
      <alignment horizontal="left" vertical="center" wrapText="1"/>
    </xf>
    <xf numFmtId="0" fontId="6" fillId="16" borderId="1" xfId="0" applyFont="1" applyFill="1" applyBorder="1" applyAlignment="1">
      <alignment vertical="center" wrapText="1"/>
    </xf>
    <xf numFmtId="0" fontId="6" fillId="17" borderId="1" xfId="0" applyFont="1" applyFill="1" applyBorder="1" applyAlignment="1">
      <alignment vertical="center" wrapText="1"/>
    </xf>
    <xf numFmtId="0" fontId="6" fillId="16" borderId="1" xfId="0" applyFont="1" applyFill="1" applyBorder="1" applyAlignment="1">
      <alignment vertical="center"/>
    </xf>
    <xf numFmtId="0" fontId="6" fillId="17" borderId="1" xfId="0" applyFont="1" applyFill="1" applyBorder="1" applyAlignment="1">
      <alignment vertical="center"/>
    </xf>
    <xf numFmtId="0" fontId="6" fillId="18" borderId="1" xfId="0" applyFont="1" applyFill="1" applyBorder="1" applyAlignment="1">
      <alignment vertical="center" wrapText="1"/>
    </xf>
    <xf numFmtId="0" fontId="4" fillId="16" borderId="1" xfId="0" applyFont="1" applyFill="1" applyBorder="1" applyAlignment="1">
      <alignment horizontal="left" vertical="center" wrapText="1"/>
    </xf>
    <xf numFmtId="0" fontId="4" fillId="18" borderId="1" xfId="0" applyFont="1" applyFill="1" applyBorder="1" applyAlignment="1">
      <alignment horizontal="left" vertical="center" wrapText="1"/>
    </xf>
    <xf numFmtId="0" fontId="6" fillId="16" borderId="2" xfId="0" applyFont="1" applyFill="1" applyBorder="1" applyAlignment="1">
      <alignment vertical="center" wrapText="1"/>
    </xf>
    <xf numFmtId="44" fontId="5" fillId="10" borderId="1" xfId="1" applyFont="1" applyFill="1" applyBorder="1" applyAlignment="1">
      <alignment vertical="center"/>
    </xf>
    <xf numFmtId="44" fontId="6" fillId="0" borderId="11" xfId="1" applyFont="1" applyFill="1" applyBorder="1" applyAlignment="1">
      <alignment vertical="center"/>
    </xf>
    <xf numFmtId="44" fontId="6" fillId="2" borderId="0" xfId="1" applyFont="1" applyFill="1" applyBorder="1" applyAlignment="1">
      <alignment vertical="center"/>
    </xf>
    <xf numFmtId="44" fontId="5" fillId="5" borderId="1" xfId="1" applyFont="1" applyFill="1" applyBorder="1" applyAlignment="1">
      <alignment vertical="center" wrapText="1"/>
    </xf>
    <xf numFmtId="0" fontId="18" fillId="2" borderId="0" xfId="0" applyFont="1" applyFill="1"/>
    <xf numFmtId="0" fontId="2" fillId="2" borderId="0" xfId="0" applyFont="1" applyFill="1"/>
    <xf numFmtId="44" fontId="5" fillId="12" borderId="1" xfId="1" applyFont="1" applyFill="1" applyBorder="1" applyAlignment="1">
      <alignment vertical="center" wrapText="1"/>
    </xf>
    <xf numFmtId="44" fontId="5" fillId="5" borderId="5" xfId="1" applyFont="1" applyFill="1" applyBorder="1" applyAlignment="1">
      <alignment vertical="center" wrapText="1"/>
    </xf>
    <xf numFmtId="0" fontId="2" fillId="2" borderId="2" xfId="0" applyFont="1" applyFill="1" applyBorder="1" applyAlignment="1">
      <alignment horizontal="right" vertical="center"/>
    </xf>
    <xf numFmtId="0" fontId="6" fillId="13" borderId="1" xfId="0" applyFont="1" applyFill="1" applyBorder="1" applyAlignment="1">
      <alignment vertical="center" wrapText="1"/>
    </xf>
    <xf numFmtId="44" fontId="6" fillId="18" borderId="1" xfId="1" applyFont="1" applyFill="1" applyBorder="1" applyAlignment="1">
      <alignment vertical="center"/>
    </xf>
    <xf numFmtId="0" fontId="6" fillId="19" borderId="1" xfId="0" applyFont="1" applyFill="1" applyBorder="1" applyAlignment="1">
      <alignment vertical="center" wrapText="1"/>
    </xf>
    <xf numFmtId="44" fontId="6" fillId="19" borderId="1" xfId="1" applyFont="1" applyFill="1" applyBorder="1" applyAlignment="1">
      <alignment vertical="center"/>
    </xf>
    <xf numFmtId="0" fontId="6" fillId="19" borderId="2" xfId="0" applyFont="1" applyFill="1" applyBorder="1" applyAlignment="1">
      <alignment vertical="center" wrapText="1"/>
    </xf>
    <xf numFmtId="0" fontId="6" fillId="13" borderId="2" xfId="0" applyFont="1" applyFill="1" applyBorder="1" applyAlignment="1">
      <alignment vertical="center" wrapText="1"/>
    </xf>
    <xf numFmtId="0" fontId="4" fillId="2" borderId="15" xfId="0" applyFont="1" applyFill="1" applyBorder="1" applyAlignment="1">
      <alignment vertical="center"/>
    </xf>
    <xf numFmtId="0" fontId="4" fillId="13" borderId="0" xfId="0" applyFont="1" applyFill="1" applyAlignment="1">
      <alignment vertical="center"/>
    </xf>
    <xf numFmtId="0" fontId="4" fillId="18" borderId="0" xfId="0" applyFont="1" applyFill="1" applyAlignment="1">
      <alignment vertical="center"/>
    </xf>
    <xf numFmtId="0" fontId="4" fillId="19" borderId="0" xfId="0" applyFont="1" applyFill="1" applyAlignment="1">
      <alignment vertical="center"/>
    </xf>
    <xf numFmtId="0" fontId="4" fillId="2" borderId="17" xfId="0" applyFont="1" applyFill="1" applyBorder="1" applyAlignment="1">
      <alignment vertical="center"/>
    </xf>
    <xf numFmtId="0" fontId="4" fillId="2" borderId="18" xfId="0" applyFont="1" applyFill="1" applyBorder="1" applyAlignment="1">
      <alignment vertical="center"/>
    </xf>
    <xf numFmtId="0" fontId="4" fillId="2" borderId="19" xfId="0" applyFont="1" applyFill="1" applyBorder="1" applyAlignment="1">
      <alignment vertical="center"/>
    </xf>
    <xf numFmtId="0" fontId="4" fillId="2" borderId="12" xfId="0" applyFont="1" applyFill="1" applyBorder="1" applyAlignment="1">
      <alignment vertical="center"/>
    </xf>
    <xf numFmtId="0" fontId="5" fillId="20" borderId="1" xfId="0" applyFont="1" applyFill="1" applyBorder="1" applyAlignment="1">
      <alignment wrapText="1"/>
    </xf>
    <xf numFmtId="0" fontId="5" fillId="20" borderId="1" xfId="0" applyFont="1" applyFill="1" applyBorder="1"/>
    <xf numFmtId="44" fontId="6" fillId="20" borderId="1" xfId="1" applyFont="1" applyFill="1" applyBorder="1" applyAlignment="1">
      <alignment vertical="center"/>
    </xf>
    <xf numFmtId="44" fontId="2" fillId="20" borderId="1" xfId="1" applyFont="1" applyFill="1" applyBorder="1" applyAlignment="1">
      <alignment vertical="center"/>
    </xf>
    <xf numFmtId="44" fontId="15" fillId="2" borderId="0" xfId="0" applyNumberFormat="1" applyFont="1" applyFill="1"/>
    <xf numFmtId="44" fontId="7" fillId="2" borderId="0" xfId="0" applyNumberFormat="1" applyFont="1" applyFill="1"/>
    <xf numFmtId="44" fontId="21" fillId="3" borderId="1" xfId="0" applyNumberFormat="1" applyFont="1" applyFill="1" applyBorder="1"/>
    <xf numFmtId="0" fontId="6" fillId="21" borderId="1" xfId="0" applyFont="1" applyFill="1" applyBorder="1" applyAlignment="1">
      <alignment vertical="center" wrapText="1"/>
    </xf>
    <xf numFmtId="0" fontId="6" fillId="21" borderId="5" xfId="0" applyFont="1" applyFill="1" applyBorder="1" applyAlignment="1">
      <alignment vertical="center" wrapText="1"/>
    </xf>
    <xf numFmtId="0" fontId="5" fillId="11" borderId="1" xfId="0" applyFont="1" applyFill="1" applyBorder="1" applyAlignment="1">
      <alignment vertical="center" wrapText="1"/>
    </xf>
    <xf numFmtId="0" fontId="5" fillId="5" borderId="1" xfId="0" applyFont="1" applyFill="1" applyBorder="1" applyAlignment="1">
      <alignment vertical="center" wrapText="1"/>
    </xf>
    <xf numFmtId="0" fontId="5" fillId="9" borderId="1" xfId="0" applyFont="1" applyFill="1" applyBorder="1" applyAlignment="1">
      <alignment vertical="center" wrapText="1"/>
    </xf>
    <xf numFmtId="0" fontId="5" fillId="12" borderId="1" xfId="0" applyFont="1" applyFill="1" applyBorder="1" applyAlignment="1">
      <alignment vertical="center" wrapText="1"/>
    </xf>
    <xf numFmtId="0" fontId="15" fillId="2" borderId="8" xfId="0" applyFont="1" applyFill="1" applyBorder="1" applyAlignment="1">
      <alignment horizontal="right"/>
    </xf>
    <xf numFmtId="0" fontId="14" fillId="2" borderId="0" xfId="0" applyFont="1" applyFill="1" applyAlignment="1">
      <alignment horizontal="center"/>
    </xf>
    <xf numFmtId="0" fontId="15" fillId="2" borderId="0" xfId="0" applyFont="1" applyFill="1" applyAlignment="1">
      <alignment horizontal="center"/>
    </xf>
    <xf numFmtId="0" fontId="3" fillId="2" borderId="0" xfId="0" applyFont="1" applyFill="1" applyAlignment="1">
      <alignment horizontal="center" vertical="center"/>
    </xf>
    <xf numFmtId="44" fontId="5" fillId="2" borderId="2" xfId="1" applyFont="1" applyFill="1" applyBorder="1" applyAlignment="1">
      <alignment horizontal="center" vertical="center"/>
    </xf>
    <xf numFmtId="44" fontId="5" fillId="2" borderId="4" xfId="1" applyFont="1" applyFill="1" applyBorder="1" applyAlignment="1">
      <alignment horizontal="center" vertical="center"/>
    </xf>
    <xf numFmtId="44" fontId="5" fillId="2" borderId="3" xfId="1" applyFont="1" applyFill="1" applyBorder="1" applyAlignment="1">
      <alignment horizontal="center" vertical="center"/>
    </xf>
    <xf numFmtId="44" fontId="6" fillId="2" borderId="0" xfId="1" applyFont="1" applyFill="1" applyBorder="1" applyAlignment="1">
      <alignment horizontal="right" vertical="center"/>
    </xf>
    <xf numFmtId="44" fontId="6" fillId="2" borderId="11" xfId="1" applyFont="1" applyFill="1" applyBorder="1" applyAlignment="1">
      <alignment horizontal="right" vertical="center"/>
    </xf>
    <xf numFmtId="44" fontId="5" fillId="4" borderId="1" xfId="1" applyFont="1" applyFill="1" applyBorder="1" applyAlignment="1">
      <alignment horizontal="right" vertical="center"/>
    </xf>
    <xf numFmtId="0" fontId="16" fillId="20" borderId="2" xfId="0" applyFont="1" applyFill="1" applyBorder="1" applyAlignment="1">
      <alignment horizontal="center" vertical="center"/>
    </xf>
    <xf numFmtId="0" fontId="16" fillId="20" borderId="4" xfId="0" applyFont="1" applyFill="1" applyBorder="1" applyAlignment="1">
      <alignment horizontal="center" vertical="center"/>
    </xf>
    <xf numFmtId="0" fontId="16" fillId="20" borderId="3" xfId="0" applyFont="1" applyFill="1" applyBorder="1" applyAlignment="1">
      <alignment horizontal="center" vertical="center"/>
    </xf>
    <xf numFmtId="44" fontId="6" fillId="2" borderId="5" xfId="1" applyFont="1" applyFill="1" applyBorder="1" applyAlignment="1">
      <alignment horizontal="left" vertical="top" wrapText="1"/>
    </xf>
    <xf numFmtId="44" fontId="6" fillId="2" borderId="11" xfId="1" applyFont="1" applyFill="1" applyBorder="1" applyAlignment="1">
      <alignment horizontal="left" vertical="top" wrapText="1"/>
    </xf>
    <xf numFmtId="0" fontId="20" fillId="3" borderId="1" xfId="0" applyFont="1" applyFill="1" applyBorder="1" applyAlignment="1">
      <alignment horizontal="center" vertical="center"/>
    </xf>
    <xf numFmtId="0" fontId="21" fillId="3" borderId="1" xfId="0" applyFont="1" applyFill="1" applyBorder="1" applyAlignment="1">
      <alignment horizontal="right"/>
    </xf>
    <xf numFmtId="44" fontId="5" fillId="4" borderId="2" xfId="1" applyFont="1" applyFill="1" applyBorder="1" applyAlignment="1">
      <alignment horizontal="center" vertical="center"/>
    </xf>
    <xf numFmtId="44" fontId="5" fillId="4" borderId="3" xfId="1" applyFont="1" applyFill="1" applyBorder="1" applyAlignment="1">
      <alignment horizontal="center" vertical="center"/>
    </xf>
    <xf numFmtId="0" fontId="16" fillId="13" borderId="2" xfId="0" applyFont="1" applyFill="1" applyBorder="1" applyAlignment="1">
      <alignment horizontal="center" vertical="center"/>
    </xf>
    <xf numFmtId="0" fontId="16" fillId="13" borderId="4" xfId="0" applyFont="1" applyFill="1" applyBorder="1" applyAlignment="1">
      <alignment horizontal="center" vertical="center"/>
    </xf>
    <xf numFmtId="0" fontId="16" fillId="13" borderId="3" xfId="0" applyFont="1" applyFill="1" applyBorder="1" applyAlignment="1">
      <alignment horizontal="center" vertical="center"/>
    </xf>
    <xf numFmtId="0" fontId="16" fillId="14" borderId="2" xfId="0" applyFont="1" applyFill="1" applyBorder="1" applyAlignment="1">
      <alignment horizontal="center" vertical="center"/>
    </xf>
    <xf numFmtId="0" fontId="16" fillId="14" borderId="4" xfId="0" applyFont="1" applyFill="1" applyBorder="1" applyAlignment="1">
      <alignment horizontal="center" vertical="center"/>
    </xf>
    <xf numFmtId="0" fontId="16" fillId="14" borderId="3" xfId="0" applyFont="1" applyFill="1" applyBorder="1" applyAlignment="1">
      <alignment horizontal="center"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3" xfId="0" applyFont="1" applyFill="1" applyBorder="1" applyAlignment="1">
      <alignment horizontal="right" vertical="center"/>
    </xf>
    <xf numFmtId="44" fontId="5" fillId="4" borderId="1" xfId="1" applyFont="1" applyFill="1" applyBorder="1" applyAlignment="1">
      <alignment horizontal="right" vertical="center" wrapText="1"/>
    </xf>
    <xf numFmtId="44" fontId="5" fillId="5" borderId="1" xfId="1" applyFont="1" applyFill="1" applyBorder="1" applyAlignment="1">
      <alignment horizontal="right" vertical="center" wrapText="1"/>
    </xf>
    <xf numFmtId="44" fontId="5" fillId="5" borderId="1" xfId="1" applyFont="1" applyFill="1" applyBorder="1" applyAlignment="1">
      <alignment horizontal="right" vertical="center"/>
    </xf>
    <xf numFmtId="44" fontId="5" fillId="11" borderId="1" xfId="1" applyFont="1" applyFill="1" applyBorder="1" applyAlignment="1">
      <alignment horizontal="right" vertical="center"/>
    </xf>
    <xf numFmtId="44" fontId="5" fillId="2" borderId="1" xfId="1" applyFont="1" applyFill="1" applyBorder="1" applyAlignment="1">
      <alignment horizontal="right" vertical="center"/>
    </xf>
    <xf numFmtId="44" fontId="5" fillId="10" borderId="1" xfId="1" applyFont="1" applyFill="1" applyBorder="1" applyAlignment="1">
      <alignment horizontal="right" vertical="center" wrapText="1"/>
    </xf>
    <xf numFmtId="44" fontId="5" fillId="10" borderId="1" xfId="1" applyFont="1" applyFill="1" applyBorder="1" applyAlignment="1">
      <alignment horizontal="right" vertical="center"/>
    </xf>
    <xf numFmtId="44" fontId="5" fillId="12" borderId="1" xfId="1" applyFont="1" applyFill="1" applyBorder="1" applyAlignment="1">
      <alignment horizontal="right" vertical="center" wrapText="1"/>
    </xf>
    <xf numFmtId="44" fontId="5" fillId="12" borderId="1" xfId="1" applyFont="1" applyFill="1" applyBorder="1" applyAlignment="1">
      <alignment horizontal="right" vertical="center"/>
    </xf>
    <xf numFmtId="44" fontId="5" fillId="15" borderId="1" xfId="1" applyFont="1" applyFill="1" applyBorder="1" applyAlignment="1">
      <alignment horizontal="center" vertical="center"/>
    </xf>
    <xf numFmtId="0" fontId="4" fillId="2" borderId="0" xfId="0" quotePrefix="1" applyFont="1" applyFill="1" applyAlignment="1">
      <alignment vertical="center"/>
    </xf>
    <xf numFmtId="0" fontId="4" fillId="2" borderId="16" xfId="0" quotePrefix="1" applyFont="1" applyFill="1" applyBorder="1" applyAlignment="1">
      <alignment vertical="center"/>
    </xf>
    <xf numFmtId="0" fontId="4" fillId="2" borderId="13" xfId="0" applyFont="1" applyFill="1" applyBorder="1" applyAlignment="1">
      <alignment horizontal="center"/>
    </xf>
    <xf numFmtId="0" fontId="4" fillId="2" borderId="14" xfId="0" applyFont="1" applyFill="1" applyBorder="1" applyAlignment="1">
      <alignment horizontal="center"/>
    </xf>
    <xf numFmtId="0" fontId="4" fillId="2" borderId="0" xfId="0" applyFont="1" applyFill="1" applyAlignment="1">
      <alignment vertical="center"/>
    </xf>
    <xf numFmtId="0" fontId="4" fillId="2" borderId="16" xfId="0" applyFont="1" applyFill="1" applyBorder="1" applyAlignment="1">
      <alignment vertical="center"/>
    </xf>
    <xf numFmtId="0" fontId="19" fillId="2" borderId="0" xfId="2" applyFont="1" applyFill="1" applyAlignment="1">
      <alignment horizontal="left"/>
    </xf>
    <xf numFmtId="0" fontId="2" fillId="2" borderId="0" xfId="0" applyFont="1" applyFill="1" applyAlignment="1">
      <alignment horizontal="center"/>
    </xf>
    <xf numFmtId="0" fontId="7" fillId="3" borderId="0" xfId="0" applyFont="1" applyFill="1" applyAlignment="1">
      <alignment horizontal="center" vertical="center"/>
    </xf>
    <xf numFmtId="0" fontId="7" fillId="3" borderId="6" xfId="0" applyFont="1" applyFill="1" applyBorder="1" applyAlignment="1">
      <alignment horizontal="center" vertical="center"/>
    </xf>
    <xf numFmtId="0" fontId="10" fillId="3" borderId="1" xfId="0" applyFont="1" applyFill="1" applyBorder="1" applyAlignment="1">
      <alignment horizontal="right" vertical="center"/>
    </xf>
    <xf numFmtId="0" fontId="3" fillId="2" borderId="9" xfId="0" applyFont="1" applyFill="1" applyBorder="1" applyAlignment="1">
      <alignment horizontal="center"/>
    </xf>
    <xf numFmtId="0" fontId="3" fillId="2" borderId="10" xfId="0" applyFont="1" applyFill="1" applyBorder="1" applyAlignment="1">
      <alignment horizontal="center"/>
    </xf>
  </cellXfs>
  <cellStyles count="3">
    <cellStyle name="Currency" xfId="1" builtinId="4"/>
    <cellStyle name="Hyperlink" xfId="2" builtinId="8"/>
    <cellStyle name="Normal" xfId="0" builtinId="0"/>
  </cellStyles>
  <dxfs count="1">
    <dxf>
      <font>
        <color theme="0"/>
      </font>
      <fill>
        <patternFill>
          <bgColor rgb="FFFF0000"/>
        </patternFill>
      </fill>
    </dxf>
  </dxfs>
  <tableStyles count="0" defaultTableStyle="TableStyleMedium2" defaultPivotStyle="PivotStyleLight16"/>
  <colors>
    <mruColors>
      <color rgb="FFFF65A3"/>
      <color rgb="FF8EF7FA"/>
      <color rgb="FFFFABAB"/>
      <color rgb="FFD8BEEC"/>
      <color rgb="FFF698F2"/>
      <color rgb="FFFF5757"/>
      <color rgb="FFFFE1FF"/>
      <color rgb="FFFFDDD5"/>
      <color rgb="FF53D2FF"/>
      <color rgb="FF3B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4</xdr:row>
      <xdr:rowOff>21980</xdr:rowOff>
    </xdr:from>
    <xdr:to>
      <xdr:col>11</xdr:col>
      <xdr:colOff>514350</xdr:colOff>
      <xdr:row>30</xdr:row>
      <xdr:rowOff>143416</xdr:rowOff>
    </xdr:to>
    <xdr:pic>
      <xdr:nvPicPr>
        <xdr:cNvPr id="2" name="Picture 1">
          <a:extLst>
            <a:ext uri="{FF2B5EF4-FFF2-40B4-BE49-F238E27FC236}">
              <a16:creationId xmlns:a16="http://schemas.microsoft.com/office/drawing/2014/main" id="{F80E7960-EF87-A545-204A-D5DFFEB3D0BE}"/>
            </a:ext>
          </a:extLst>
        </xdr:cNvPr>
        <xdr:cNvPicPr>
          <a:picLocks noChangeAspect="1"/>
        </xdr:cNvPicPr>
      </xdr:nvPicPr>
      <xdr:blipFill>
        <a:blip xmlns:r="http://schemas.openxmlformats.org/officeDocument/2006/relationships" r:embed="rId1"/>
        <a:stretch>
          <a:fillRect/>
        </a:stretch>
      </xdr:blipFill>
      <xdr:spPr>
        <a:xfrm>
          <a:off x="38100" y="783980"/>
          <a:ext cx="9020175" cy="5074436"/>
        </a:xfrm>
        <a:prstGeom prst="rect">
          <a:avLst/>
        </a:prstGeom>
      </xdr:spPr>
    </xdr:pic>
    <xdr:clientData/>
  </xdr:twoCellAnchor>
  <xdr:twoCellAnchor editAs="oneCell">
    <xdr:from>
      <xdr:col>12</xdr:col>
      <xdr:colOff>609599</xdr:colOff>
      <xdr:row>3</xdr:row>
      <xdr:rowOff>180976</xdr:rowOff>
    </xdr:from>
    <xdr:to>
      <xdr:col>28</xdr:col>
      <xdr:colOff>0</xdr:colOff>
      <xdr:row>30</xdr:row>
      <xdr:rowOff>148830</xdr:rowOff>
    </xdr:to>
    <xdr:pic>
      <xdr:nvPicPr>
        <xdr:cNvPr id="3" name="Picture 2">
          <a:extLst>
            <a:ext uri="{FF2B5EF4-FFF2-40B4-BE49-F238E27FC236}">
              <a16:creationId xmlns:a16="http://schemas.microsoft.com/office/drawing/2014/main" id="{7B91D7E7-1B2C-B57D-13F0-19D6CFB077DA}"/>
            </a:ext>
          </a:extLst>
        </xdr:cNvPr>
        <xdr:cNvPicPr>
          <a:picLocks noChangeAspect="1"/>
        </xdr:cNvPicPr>
      </xdr:nvPicPr>
      <xdr:blipFill>
        <a:blip xmlns:r="http://schemas.openxmlformats.org/officeDocument/2006/relationships" r:embed="rId2"/>
        <a:stretch>
          <a:fillRect/>
        </a:stretch>
      </xdr:blipFill>
      <xdr:spPr>
        <a:xfrm>
          <a:off x="9763124" y="828676"/>
          <a:ext cx="9086851" cy="511135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uduser.gov/portal/sadda/sadda_qct.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F891-3DE8-4BEF-BCFC-EA6A019CF366}">
  <dimension ref="B2:G10"/>
  <sheetViews>
    <sheetView workbookViewId="0">
      <selection activeCell="B4" sqref="B4"/>
    </sheetView>
  </sheetViews>
  <sheetFormatPr defaultRowHeight="15.75" x14ac:dyDescent="0.25"/>
  <cols>
    <col min="1" max="1" width="6.7109375" style="36" customWidth="1"/>
    <col min="2" max="2" width="32.42578125" style="36" bestFit="1" customWidth="1"/>
    <col min="3" max="3" width="16.85546875" style="36" bestFit="1" customWidth="1"/>
    <col min="4" max="4" width="15.7109375" style="36" hidden="1" customWidth="1"/>
    <col min="5" max="5" width="29.7109375" style="36" hidden="1" customWidth="1"/>
    <col min="6" max="6" width="19.42578125" style="36" customWidth="1"/>
    <col min="7" max="7" width="22.42578125" style="36" bestFit="1" customWidth="1"/>
    <col min="8" max="8" width="6.7109375" style="36" customWidth="1"/>
    <col min="9" max="16384" width="9.140625" style="36"/>
  </cols>
  <sheetData>
    <row r="2" spans="2:7" ht="70.5" customHeight="1" x14ac:dyDescent="0.5">
      <c r="B2" s="128" t="s">
        <v>203</v>
      </c>
      <c r="C2" s="128"/>
      <c r="D2" s="128"/>
      <c r="E2" s="128"/>
      <c r="F2" s="128"/>
      <c r="G2" s="128"/>
    </row>
    <row r="3" spans="2:7" x14ac:dyDescent="0.25">
      <c r="B3" s="129" t="s">
        <v>361</v>
      </c>
      <c r="C3" s="129"/>
      <c r="D3" s="129"/>
      <c r="E3" s="129"/>
      <c r="F3" s="129"/>
      <c r="G3" s="129"/>
    </row>
    <row r="5" spans="2:7" s="37" customFormat="1" ht="27" customHeight="1" x14ac:dyDescent="0.25">
      <c r="C5" s="44" t="s">
        <v>196</v>
      </c>
      <c r="D5" s="44" t="s">
        <v>198</v>
      </c>
      <c r="E5" s="44" t="s">
        <v>197</v>
      </c>
      <c r="F5" s="45" t="s">
        <v>219</v>
      </c>
      <c r="G5" s="44" t="s">
        <v>199</v>
      </c>
    </row>
    <row r="6" spans="2:7" s="37" customFormat="1" ht="27" customHeight="1" x14ac:dyDescent="0.25">
      <c r="B6" s="38" t="s">
        <v>200</v>
      </c>
      <c r="C6" s="39">
        <v>18830982</v>
      </c>
      <c r="D6" s="40">
        <f>-SUM('ARPA Update'!AC5:AC6,'ARPA Update'!AC8:AC20,'ARPA Update'!AC23:AC24,'ARPA Update'!AC26:AC29,'ARPA Update'!AC34)</f>
        <v>7167055.79</v>
      </c>
      <c r="E6" s="40">
        <f>SUM('ARPA Update'!AD5:AD6,'ARPA Update'!AD8:AD20,'ARPA Update'!AD23:AD24,'ARPA Update'!AD26:AD29,'ARPA Update'!AD34)</f>
        <v>3559177.2</v>
      </c>
      <c r="F6" s="40">
        <f>SUM('ARPA Update'!AE53:AE55)</f>
        <v>11716232.989999998</v>
      </c>
      <c r="G6" s="40">
        <f>C6-F6</f>
        <v>7114749.0100000016</v>
      </c>
    </row>
    <row r="7" spans="2:7" s="37" customFormat="1" ht="27" customHeight="1" x14ac:dyDescent="0.25">
      <c r="B7" s="33" t="s">
        <v>201</v>
      </c>
      <c r="C7" s="34">
        <v>10000000</v>
      </c>
      <c r="D7" s="35">
        <f>-SUM('ARPA Update'!AC7,'ARPA Update'!AC21:AC22,'ARPA Update'!AC25,'ARPA Update'!AC31:AC33)</f>
        <v>1511004.45</v>
      </c>
      <c r="E7" s="35">
        <f>SUM('ARPA Update'!AD7,'ARPA Update'!AD21:AD22,'ARPA Update'!AD25,'ARPA Update'!AD31:AD33)</f>
        <v>1954943.5500000003</v>
      </c>
      <c r="F7" s="35">
        <f>SUM('ARPA Update'!AE52)</f>
        <v>9119148</v>
      </c>
      <c r="G7" s="35">
        <f>C7-F7</f>
        <v>880852</v>
      </c>
    </row>
    <row r="8" spans="2:7" s="37" customFormat="1" ht="27" customHeight="1" x14ac:dyDescent="0.25">
      <c r="B8" s="41" t="s">
        <v>202</v>
      </c>
      <c r="C8" s="42">
        <v>28830982</v>
      </c>
      <c r="D8" s="43">
        <f>SUM(D6:D7)</f>
        <v>8678060.2400000002</v>
      </c>
      <c r="E8" s="43">
        <f>SUM(E6:E7)</f>
        <v>5514120.75</v>
      </c>
      <c r="F8" s="43">
        <f>F6+F7</f>
        <v>20835380.989999998</v>
      </c>
      <c r="G8" s="43">
        <f>G6+G7</f>
        <v>7995601.0100000016</v>
      </c>
    </row>
    <row r="9" spans="2:7" x14ac:dyDescent="0.25">
      <c r="B9" s="127" t="s">
        <v>223</v>
      </c>
      <c r="C9" s="127"/>
      <c r="D9" s="127"/>
      <c r="E9" s="127"/>
      <c r="F9" s="127"/>
      <c r="G9" s="127"/>
    </row>
    <row r="10" spans="2:7" x14ac:dyDescent="0.25">
      <c r="F10" s="118"/>
    </row>
  </sheetData>
  <mergeCells count="3">
    <mergeCell ref="B9:G9"/>
    <mergeCell ref="B2:G2"/>
    <mergeCell ref="B3:G3"/>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320D-955F-4E9E-8070-3E5CD51205B9}">
  <sheetPr>
    <pageSetUpPr fitToPage="1"/>
  </sheetPr>
  <dimension ref="A1:AH63"/>
  <sheetViews>
    <sheetView tabSelected="1" zoomScaleNormal="100" workbookViewId="0">
      <pane ySplit="4" topLeftCell="A45" activePane="bottomLeft" state="frozen"/>
      <selection pane="bottomLeft" activeCell="AG11" sqref="AG11"/>
    </sheetView>
  </sheetViews>
  <sheetFormatPr defaultColWidth="9.140625" defaultRowHeight="15.75" x14ac:dyDescent="0.25"/>
  <cols>
    <col min="1" max="1" width="24.85546875" style="1" customWidth="1"/>
    <col min="2" max="2" width="32.7109375" style="1" hidden="1" customWidth="1"/>
    <col min="3" max="3" width="14.5703125" style="1" hidden="1" customWidth="1"/>
    <col min="4" max="4" width="18" style="1" hidden="1" customWidth="1"/>
    <col min="5" max="5" width="40.42578125" style="1" hidden="1" customWidth="1"/>
    <col min="6" max="6" width="28.7109375" style="1" hidden="1" customWidth="1"/>
    <col min="7" max="7" width="29.28515625" style="1" hidden="1" customWidth="1"/>
    <col min="8" max="8" width="27.140625" style="1" hidden="1" customWidth="1"/>
    <col min="9" max="9" width="19.85546875" style="1" hidden="1" customWidth="1"/>
    <col min="10" max="10" width="18.140625" style="1" hidden="1" customWidth="1"/>
    <col min="11" max="11" width="15" style="1" hidden="1" customWidth="1"/>
    <col min="12" max="12" width="26.42578125" style="1" hidden="1" customWidth="1"/>
    <col min="13" max="14" width="19.5703125" style="1" hidden="1" customWidth="1"/>
    <col min="15" max="15" width="19" style="1" hidden="1" customWidth="1"/>
    <col min="16" max="16" width="22" style="1" hidden="1" customWidth="1"/>
    <col min="17" max="17" width="15" style="1" hidden="1" customWidth="1"/>
    <col min="18" max="18" width="16.140625" style="1" hidden="1" customWidth="1"/>
    <col min="19" max="19" width="24.140625" style="1" hidden="1" customWidth="1"/>
    <col min="20" max="20" width="16.140625" style="1" hidden="1" customWidth="1"/>
    <col min="21" max="21" width="19" style="1" hidden="1" customWidth="1"/>
    <col min="22" max="22" width="22" style="1" hidden="1" customWidth="1"/>
    <col min="23" max="23" width="15" style="1" hidden="1" customWidth="1"/>
    <col min="24" max="24" width="16.140625" style="1" hidden="1" customWidth="1"/>
    <col min="25" max="25" width="16.7109375" style="1" hidden="1" customWidth="1"/>
    <col min="26" max="26" width="16.140625" style="1" hidden="1" customWidth="1"/>
    <col min="27" max="30" width="21" style="1" customWidth="1"/>
    <col min="31" max="31" width="21" style="58" customWidth="1"/>
    <col min="32" max="32" width="0.5703125" style="58" hidden="1" customWidth="1"/>
    <col min="33" max="33" width="81.42578125" style="1" customWidth="1"/>
    <col min="34" max="34" width="11" style="1" customWidth="1"/>
    <col min="35" max="16384" width="9.140625" style="1"/>
  </cols>
  <sheetData>
    <row r="1" spans="1:34" ht="15.75" customHeight="1" x14ac:dyDescent="0.25">
      <c r="A1" s="130" t="s">
        <v>360</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row>
    <row r="2" spans="1:34" ht="15.75" customHeight="1" x14ac:dyDescent="0.25">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row>
    <row r="3" spans="1:34" ht="15.75" customHeight="1" x14ac:dyDescent="0.25">
      <c r="A3" s="14"/>
      <c r="B3" s="14"/>
      <c r="C3" s="14"/>
      <c r="D3" s="14"/>
      <c r="E3" s="14"/>
      <c r="F3" s="14"/>
      <c r="G3" s="14"/>
      <c r="H3" s="14"/>
      <c r="I3" s="78"/>
      <c r="J3" s="146" t="s">
        <v>209</v>
      </c>
      <c r="K3" s="147"/>
      <c r="L3" s="147"/>
      <c r="M3" s="147"/>
      <c r="N3" s="148"/>
      <c r="O3" s="149" t="s">
        <v>211</v>
      </c>
      <c r="P3" s="150"/>
      <c r="Q3" s="150"/>
      <c r="R3" s="150"/>
      <c r="S3" s="150"/>
      <c r="T3" s="151"/>
      <c r="U3" s="137" t="s">
        <v>324</v>
      </c>
      <c r="V3" s="138"/>
      <c r="W3" s="138"/>
      <c r="X3" s="138"/>
      <c r="Y3" s="138"/>
      <c r="Z3" s="139"/>
      <c r="AA3" s="136" t="s">
        <v>70</v>
      </c>
      <c r="AB3" s="136"/>
      <c r="AC3" s="136"/>
      <c r="AD3" s="144">
        <f>14415491*2</f>
        <v>28830982</v>
      </c>
      <c r="AE3" s="145"/>
      <c r="AF3" s="73"/>
      <c r="AG3" s="14"/>
      <c r="AH3" s="14"/>
    </row>
    <row r="4" spans="1:34" ht="60" x14ac:dyDescent="0.25">
      <c r="A4" s="2" t="s">
        <v>0</v>
      </c>
      <c r="B4" s="2" t="s">
        <v>1</v>
      </c>
      <c r="C4" s="2" t="s">
        <v>2</v>
      </c>
      <c r="D4" s="2" t="s">
        <v>3</v>
      </c>
      <c r="E4" s="2" t="s">
        <v>4</v>
      </c>
      <c r="F4" s="25" t="s">
        <v>5</v>
      </c>
      <c r="G4" s="25" t="s">
        <v>80</v>
      </c>
      <c r="H4" s="2" t="s">
        <v>79</v>
      </c>
      <c r="I4" s="25" t="s">
        <v>247</v>
      </c>
      <c r="J4" s="64" t="s">
        <v>204</v>
      </c>
      <c r="K4" s="64" t="s">
        <v>205</v>
      </c>
      <c r="L4" s="64" t="s">
        <v>206</v>
      </c>
      <c r="M4" s="64" t="s">
        <v>297</v>
      </c>
      <c r="N4" s="64" t="s">
        <v>213</v>
      </c>
      <c r="O4" s="67" t="s">
        <v>329</v>
      </c>
      <c r="P4" s="68" t="s">
        <v>208</v>
      </c>
      <c r="Q4" s="68" t="s">
        <v>7</v>
      </c>
      <c r="R4" s="67" t="s">
        <v>210</v>
      </c>
      <c r="S4" s="67" t="s">
        <v>331</v>
      </c>
      <c r="T4" s="67" t="s">
        <v>214</v>
      </c>
      <c r="U4" s="114" t="s">
        <v>328</v>
      </c>
      <c r="V4" s="115" t="s">
        <v>322</v>
      </c>
      <c r="W4" s="115" t="s">
        <v>323</v>
      </c>
      <c r="X4" s="114" t="s">
        <v>325</v>
      </c>
      <c r="Y4" s="114" t="s">
        <v>330</v>
      </c>
      <c r="Z4" s="114" t="s">
        <v>327</v>
      </c>
      <c r="AA4" s="2" t="s">
        <v>6</v>
      </c>
      <c r="AB4" s="25" t="s">
        <v>212</v>
      </c>
      <c r="AC4" s="2" t="s">
        <v>8</v>
      </c>
      <c r="AD4" s="25" t="s">
        <v>9</v>
      </c>
      <c r="AE4" s="2" t="s">
        <v>217</v>
      </c>
      <c r="AF4" s="2" t="s">
        <v>255</v>
      </c>
      <c r="AG4" s="2" t="s">
        <v>10</v>
      </c>
      <c r="AH4" s="25" t="s">
        <v>345</v>
      </c>
    </row>
    <row r="5" spans="1:34" s="4" customFormat="1" ht="30.75" customHeight="1" x14ac:dyDescent="0.25">
      <c r="A5" s="60" t="s">
        <v>11</v>
      </c>
      <c r="B5" s="61" t="s">
        <v>12</v>
      </c>
      <c r="C5" s="61" t="s">
        <v>13</v>
      </c>
      <c r="D5" s="61" t="s">
        <v>14</v>
      </c>
      <c r="E5" s="61" t="s">
        <v>15</v>
      </c>
      <c r="F5" s="61" t="s">
        <v>16</v>
      </c>
      <c r="G5" s="61" t="s">
        <v>39</v>
      </c>
      <c r="H5" s="61" t="s">
        <v>69</v>
      </c>
      <c r="I5" s="60" t="s">
        <v>252</v>
      </c>
      <c r="J5" s="65">
        <v>400000</v>
      </c>
      <c r="K5" s="65">
        <v>-139468.03</v>
      </c>
      <c r="L5" s="65">
        <f>J5+K5</f>
        <v>260531.97</v>
      </c>
      <c r="M5" s="65">
        <f>L5</f>
        <v>260531.97</v>
      </c>
      <c r="N5" s="65">
        <f>M5-L5</f>
        <v>0</v>
      </c>
      <c r="O5" s="69">
        <v>0</v>
      </c>
      <c r="P5" s="69">
        <v>-45471.14</v>
      </c>
      <c r="Q5" s="69">
        <f>-171652.41-2170.42-20619-20619</f>
        <v>-215060.83000000002</v>
      </c>
      <c r="R5" s="69">
        <f>SUM(M5,O5,P5,Q5)</f>
        <v>0</v>
      </c>
      <c r="S5" s="69">
        <f>R5</f>
        <v>0</v>
      </c>
      <c r="T5" s="69">
        <v>0</v>
      </c>
      <c r="U5" s="116">
        <v>0</v>
      </c>
      <c r="V5" s="116">
        <v>0</v>
      </c>
      <c r="W5" s="116">
        <v>0</v>
      </c>
      <c r="X5" s="116">
        <f>SUM(S5,U5,V5,W5)</f>
        <v>0</v>
      </c>
      <c r="Y5" s="116" t="s">
        <v>66</v>
      </c>
      <c r="Z5" s="116">
        <v>0</v>
      </c>
      <c r="AA5" s="62">
        <f>J5+O5+U5</f>
        <v>400000</v>
      </c>
      <c r="AB5" s="62">
        <f>N5+P5+T5+V5+Z5</f>
        <v>-45471.14</v>
      </c>
      <c r="AC5" s="62">
        <f>SUM(K5+Q5+W5)</f>
        <v>-354528.86</v>
      </c>
      <c r="AD5" s="62">
        <f>X5</f>
        <v>0</v>
      </c>
      <c r="AE5" s="59">
        <f>AD5-AC5</f>
        <v>354528.86</v>
      </c>
      <c r="AF5" s="97" t="s">
        <v>278</v>
      </c>
      <c r="AG5" s="60" t="s">
        <v>228</v>
      </c>
      <c r="AH5" s="60" t="s">
        <v>39</v>
      </c>
    </row>
    <row r="6" spans="1:34" s="4" customFormat="1" ht="81" customHeight="1" x14ac:dyDescent="0.25">
      <c r="A6" s="51" t="s">
        <v>75</v>
      </c>
      <c r="B6" s="52" t="s">
        <v>17</v>
      </c>
      <c r="C6" s="52" t="s">
        <v>13</v>
      </c>
      <c r="D6" s="52" t="s">
        <v>13</v>
      </c>
      <c r="E6" s="52" t="s">
        <v>18</v>
      </c>
      <c r="F6" s="51" t="s">
        <v>19</v>
      </c>
      <c r="G6" s="51" t="s">
        <v>39</v>
      </c>
      <c r="H6" s="51" t="s">
        <v>69</v>
      </c>
      <c r="I6" s="51" t="s">
        <v>244</v>
      </c>
      <c r="J6" s="65">
        <v>700000</v>
      </c>
      <c r="K6" s="65">
        <v>-700000</v>
      </c>
      <c r="L6" s="65">
        <f t="shared" ref="L6:L29" si="0">J6+K6</f>
        <v>0</v>
      </c>
      <c r="M6" s="65">
        <v>0</v>
      </c>
      <c r="N6" s="65">
        <f t="shared" ref="N6:N34" si="1">M6-L6</f>
        <v>0</v>
      </c>
      <c r="O6" s="69">
        <v>0</v>
      </c>
      <c r="P6" s="69">
        <v>0</v>
      </c>
      <c r="Q6" s="69">
        <v>0</v>
      </c>
      <c r="R6" s="69">
        <f t="shared" ref="R6:R42" si="2">SUM(M6,O6,P6,Q6)</f>
        <v>0</v>
      </c>
      <c r="S6" s="69">
        <f t="shared" ref="S6:S23" si="3">R6</f>
        <v>0</v>
      </c>
      <c r="T6" s="69">
        <v>0</v>
      </c>
      <c r="U6" s="116">
        <v>0</v>
      </c>
      <c r="V6" s="116">
        <v>0</v>
      </c>
      <c r="W6" s="116">
        <v>0</v>
      </c>
      <c r="X6" s="116">
        <f t="shared" ref="X6:X23" si="4">SUM(S6,U6,V6,W6)</f>
        <v>0</v>
      </c>
      <c r="Y6" s="116" t="s">
        <v>66</v>
      </c>
      <c r="Z6" s="116">
        <v>0</v>
      </c>
      <c r="AA6" s="53">
        <f t="shared" ref="AA6:AA46" si="5">J6+O6+U6</f>
        <v>700000</v>
      </c>
      <c r="AB6" s="53">
        <f t="shared" ref="AB6:AB46" si="6">N6+P6+T6+V6+Z6</f>
        <v>0</v>
      </c>
      <c r="AC6" s="53">
        <f t="shared" ref="AC6:AC46" si="7">SUM(K6+Q6+W6)</f>
        <v>-700000</v>
      </c>
      <c r="AD6" s="53">
        <f t="shared" ref="AD6:AD46" si="8">X6</f>
        <v>0</v>
      </c>
      <c r="AE6" s="50">
        <f t="shared" ref="AE6:AE33" si="9">AD6-AC6</f>
        <v>700000</v>
      </c>
      <c r="AF6" s="81" t="s">
        <v>279</v>
      </c>
      <c r="AG6" s="51" t="s">
        <v>343</v>
      </c>
      <c r="AH6" s="51" t="s">
        <v>39</v>
      </c>
    </row>
    <row r="7" spans="1:34" s="4" customFormat="1" ht="52.5" customHeight="1" x14ac:dyDescent="0.25">
      <c r="A7" s="21" t="s">
        <v>112</v>
      </c>
      <c r="B7" s="22" t="s">
        <v>17</v>
      </c>
      <c r="C7" s="22" t="s">
        <v>13</v>
      </c>
      <c r="D7" s="22" t="s">
        <v>13</v>
      </c>
      <c r="E7" s="22" t="s">
        <v>45</v>
      </c>
      <c r="F7" s="22" t="s">
        <v>46</v>
      </c>
      <c r="G7" s="22" t="s">
        <v>39</v>
      </c>
      <c r="H7" s="22" t="s">
        <v>69</v>
      </c>
      <c r="I7" s="22" t="s">
        <v>245</v>
      </c>
      <c r="J7" s="65">
        <v>500000</v>
      </c>
      <c r="K7" s="65">
        <v>-500000</v>
      </c>
      <c r="L7" s="65">
        <f t="shared" ref="L7" si="10">J7+K7</f>
        <v>0</v>
      </c>
      <c r="M7" s="65">
        <v>0</v>
      </c>
      <c r="N7" s="65">
        <f t="shared" si="1"/>
        <v>0</v>
      </c>
      <c r="O7" s="69">
        <v>0</v>
      </c>
      <c r="P7" s="69">
        <v>0</v>
      </c>
      <c r="Q7" s="69">
        <v>0</v>
      </c>
      <c r="R7" s="69">
        <f t="shared" si="2"/>
        <v>0</v>
      </c>
      <c r="S7" s="69">
        <f t="shared" si="3"/>
        <v>0</v>
      </c>
      <c r="T7" s="69">
        <v>0</v>
      </c>
      <c r="U7" s="116">
        <v>0</v>
      </c>
      <c r="V7" s="116">
        <v>0</v>
      </c>
      <c r="W7" s="116">
        <v>0</v>
      </c>
      <c r="X7" s="116">
        <f>SUM(S7,U7,V7,W7)</f>
        <v>0</v>
      </c>
      <c r="Y7" s="116" t="s">
        <v>66</v>
      </c>
      <c r="Z7" s="116">
        <v>0</v>
      </c>
      <c r="AA7" s="20">
        <f t="shared" si="5"/>
        <v>500000</v>
      </c>
      <c r="AB7" s="20">
        <f t="shared" si="6"/>
        <v>0</v>
      </c>
      <c r="AC7" s="20">
        <f t="shared" si="7"/>
        <v>-500000</v>
      </c>
      <c r="AD7" s="20">
        <f t="shared" si="8"/>
        <v>0</v>
      </c>
      <c r="AE7" s="24">
        <f t="shared" si="9"/>
        <v>500000</v>
      </c>
      <c r="AF7" s="94" t="s">
        <v>280</v>
      </c>
      <c r="AG7" s="21" t="s">
        <v>339</v>
      </c>
      <c r="AH7" s="21" t="s">
        <v>39</v>
      </c>
    </row>
    <row r="8" spans="1:34" s="4" customFormat="1" ht="30.75" customHeight="1" x14ac:dyDescent="0.25">
      <c r="A8" s="21" t="s">
        <v>221</v>
      </c>
      <c r="B8" s="22" t="s">
        <v>12</v>
      </c>
      <c r="C8" s="22" t="s">
        <v>13</v>
      </c>
      <c r="D8" s="22" t="s">
        <v>14</v>
      </c>
      <c r="E8" s="22" t="s">
        <v>18</v>
      </c>
      <c r="F8" s="22" t="s">
        <v>18</v>
      </c>
      <c r="G8" s="21" t="s">
        <v>39</v>
      </c>
      <c r="H8" s="21" t="s">
        <v>69</v>
      </c>
      <c r="I8" s="21" t="s">
        <v>252</v>
      </c>
      <c r="J8" s="65">
        <v>60000</v>
      </c>
      <c r="K8" s="65">
        <v>-25000</v>
      </c>
      <c r="L8" s="65">
        <f t="shared" si="0"/>
        <v>35000</v>
      </c>
      <c r="M8" s="65">
        <v>0</v>
      </c>
      <c r="N8" s="65">
        <f t="shared" si="1"/>
        <v>-35000</v>
      </c>
      <c r="O8" s="69">
        <v>0</v>
      </c>
      <c r="P8" s="69">
        <v>0</v>
      </c>
      <c r="Q8" s="69">
        <v>0</v>
      </c>
      <c r="R8" s="69">
        <f t="shared" si="2"/>
        <v>0</v>
      </c>
      <c r="S8" s="69">
        <f t="shared" si="3"/>
        <v>0</v>
      </c>
      <c r="T8" s="69">
        <v>0</v>
      </c>
      <c r="U8" s="116">
        <v>0</v>
      </c>
      <c r="V8" s="116">
        <v>0</v>
      </c>
      <c r="W8" s="116">
        <v>0</v>
      </c>
      <c r="X8" s="116">
        <f t="shared" si="4"/>
        <v>0</v>
      </c>
      <c r="Y8" s="116" t="s">
        <v>66</v>
      </c>
      <c r="Z8" s="116">
        <v>0</v>
      </c>
      <c r="AA8" s="20">
        <f t="shared" si="5"/>
        <v>60000</v>
      </c>
      <c r="AB8" s="20">
        <f t="shared" si="6"/>
        <v>-35000</v>
      </c>
      <c r="AC8" s="20">
        <f t="shared" si="7"/>
        <v>-25000</v>
      </c>
      <c r="AD8" s="20">
        <f t="shared" si="8"/>
        <v>0</v>
      </c>
      <c r="AE8" s="24">
        <f t="shared" si="9"/>
        <v>25000</v>
      </c>
      <c r="AF8" s="24" t="s">
        <v>281</v>
      </c>
      <c r="AG8" s="21" t="s">
        <v>236</v>
      </c>
      <c r="AH8" s="21" t="s">
        <v>39</v>
      </c>
    </row>
    <row r="9" spans="1:34" s="4" customFormat="1" ht="30.75" customHeight="1" x14ac:dyDescent="0.25">
      <c r="A9" s="51" t="s">
        <v>20</v>
      </c>
      <c r="B9" s="52" t="s">
        <v>17</v>
      </c>
      <c r="C9" s="52" t="s">
        <v>13</v>
      </c>
      <c r="D9" s="52" t="s">
        <v>13</v>
      </c>
      <c r="E9" s="52" t="s">
        <v>18</v>
      </c>
      <c r="F9" s="54" t="s">
        <v>21</v>
      </c>
      <c r="G9" s="54" t="s">
        <v>39</v>
      </c>
      <c r="H9" s="54" t="s">
        <v>69</v>
      </c>
      <c r="I9" s="54" t="s">
        <v>244</v>
      </c>
      <c r="J9" s="65">
        <v>43000</v>
      </c>
      <c r="K9" s="65">
        <v>-42696.35</v>
      </c>
      <c r="L9" s="65">
        <f t="shared" si="0"/>
        <v>303.65000000000146</v>
      </c>
      <c r="M9" s="65">
        <v>0</v>
      </c>
      <c r="N9" s="65">
        <f t="shared" si="1"/>
        <v>-303.65000000000146</v>
      </c>
      <c r="O9" s="69">
        <v>0</v>
      </c>
      <c r="P9" s="69">
        <v>0</v>
      </c>
      <c r="Q9" s="69">
        <v>0</v>
      </c>
      <c r="R9" s="69">
        <f t="shared" si="2"/>
        <v>0</v>
      </c>
      <c r="S9" s="69">
        <f t="shared" si="3"/>
        <v>0</v>
      </c>
      <c r="T9" s="69">
        <v>0</v>
      </c>
      <c r="U9" s="116">
        <v>0</v>
      </c>
      <c r="V9" s="116">
        <v>0</v>
      </c>
      <c r="W9" s="116">
        <v>0</v>
      </c>
      <c r="X9" s="116">
        <f t="shared" si="4"/>
        <v>0</v>
      </c>
      <c r="Y9" s="116" t="s">
        <v>66</v>
      </c>
      <c r="Z9" s="116">
        <v>0</v>
      </c>
      <c r="AA9" s="53">
        <f t="shared" si="5"/>
        <v>43000</v>
      </c>
      <c r="AB9" s="53">
        <f t="shared" si="6"/>
        <v>-303.65000000000146</v>
      </c>
      <c r="AC9" s="53">
        <f t="shared" si="7"/>
        <v>-42696.35</v>
      </c>
      <c r="AD9" s="53">
        <f t="shared" si="8"/>
        <v>0</v>
      </c>
      <c r="AE9" s="50">
        <f t="shared" si="9"/>
        <v>42696.35</v>
      </c>
      <c r="AF9" s="50" t="s">
        <v>282</v>
      </c>
      <c r="AG9" s="51" t="s">
        <v>340</v>
      </c>
      <c r="AH9" s="51" t="s">
        <v>39</v>
      </c>
    </row>
    <row r="10" spans="1:34" s="4" customFormat="1" ht="30.75" customHeight="1" x14ac:dyDescent="0.25">
      <c r="A10" s="46" t="s">
        <v>22</v>
      </c>
      <c r="B10" s="47" t="s">
        <v>23</v>
      </c>
      <c r="C10" s="47" t="s">
        <v>13</v>
      </c>
      <c r="D10" s="47" t="s">
        <v>13</v>
      </c>
      <c r="E10" s="47" t="s">
        <v>18</v>
      </c>
      <c r="F10" s="46" t="s">
        <v>24</v>
      </c>
      <c r="G10" s="46" t="s">
        <v>39</v>
      </c>
      <c r="H10" s="46" t="s">
        <v>69</v>
      </c>
      <c r="I10" s="46" t="s">
        <v>244</v>
      </c>
      <c r="J10" s="65">
        <v>164000</v>
      </c>
      <c r="K10" s="65">
        <v>0</v>
      </c>
      <c r="L10" s="65">
        <f t="shared" si="0"/>
        <v>164000</v>
      </c>
      <c r="M10" s="65">
        <f t="shared" ref="M10:M20" si="11">L10</f>
        <v>164000</v>
      </c>
      <c r="N10" s="65">
        <f t="shared" si="1"/>
        <v>0</v>
      </c>
      <c r="O10" s="69">
        <v>0</v>
      </c>
      <c r="P10" s="69">
        <v>-164000</v>
      </c>
      <c r="Q10" s="69">
        <v>0</v>
      </c>
      <c r="R10" s="69">
        <f t="shared" si="2"/>
        <v>0</v>
      </c>
      <c r="S10" s="69">
        <f t="shared" si="3"/>
        <v>0</v>
      </c>
      <c r="T10" s="69">
        <v>0</v>
      </c>
      <c r="U10" s="116">
        <v>0</v>
      </c>
      <c r="V10" s="116">
        <v>0</v>
      </c>
      <c r="W10" s="116">
        <v>0</v>
      </c>
      <c r="X10" s="116">
        <f t="shared" si="4"/>
        <v>0</v>
      </c>
      <c r="Y10" s="116" t="s">
        <v>66</v>
      </c>
      <c r="Z10" s="116">
        <v>0</v>
      </c>
      <c r="AA10" s="48">
        <f t="shared" si="5"/>
        <v>164000</v>
      </c>
      <c r="AB10" s="48">
        <f t="shared" si="6"/>
        <v>-164000</v>
      </c>
      <c r="AC10" s="48">
        <f t="shared" si="7"/>
        <v>0</v>
      </c>
      <c r="AD10" s="48">
        <f t="shared" si="8"/>
        <v>0</v>
      </c>
      <c r="AE10" s="49">
        <f t="shared" si="9"/>
        <v>0</v>
      </c>
      <c r="AF10" s="49"/>
      <c r="AG10" s="46" t="s">
        <v>268</v>
      </c>
      <c r="AH10" s="46" t="s">
        <v>39</v>
      </c>
    </row>
    <row r="11" spans="1:34" s="4" customFormat="1" ht="63" customHeight="1" x14ac:dyDescent="0.25">
      <c r="A11" s="51" t="s">
        <v>25</v>
      </c>
      <c r="B11" s="52" t="s">
        <v>12</v>
      </c>
      <c r="C11" s="52" t="s">
        <v>13</v>
      </c>
      <c r="D11" s="52" t="s">
        <v>14</v>
      </c>
      <c r="E11" s="52" t="s">
        <v>18</v>
      </c>
      <c r="F11" s="52" t="s">
        <v>26</v>
      </c>
      <c r="G11" s="54" t="s">
        <v>39</v>
      </c>
      <c r="H11" s="52" t="s">
        <v>69</v>
      </c>
      <c r="I11" s="51" t="s">
        <v>246</v>
      </c>
      <c r="J11" s="65">
        <v>600000</v>
      </c>
      <c r="K11" s="65">
        <f>-133448-426500</f>
        <v>-559948</v>
      </c>
      <c r="L11" s="65">
        <f t="shared" si="0"/>
        <v>40052</v>
      </c>
      <c r="M11" s="65">
        <f t="shared" si="11"/>
        <v>40052</v>
      </c>
      <c r="N11" s="65">
        <f t="shared" si="1"/>
        <v>0</v>
      </c>
      <c r="O11" s="69">
        <v>0</v>
      </c>
      <c r="P11" s="69">
        <v>-40052</v>
      </c>
      <c r="Q11" s="69">
        <v>0</v>
      </c>
      <c r="R11" s="69">
        <f t="shared" si="2"/>
        <v>0</v>
      </c>
      <c r="S11" s="69">
        <f t="shared" si="3"/>
        <v>0</v>
      </c>
      <c r="T11" s="69">
        <v>0</v>
      </c>
      <c r="U11" s="116">
        <v>0</v>
      </c>
      <c r="V11" s="116">
        <v>0</v>
      </c>
      <c r="W11" s="116">
        <v>0</v>
      </c>
      <c r="X11" s="116">
        <f t="shared" si="4"/>
        <v>0</v>
      </c>
      <c r="Y11" s="116" t="s">
        <v>66</v>
      </c>
      <c r="Z11" s="116">
        <v>0</v>
      </c>
      <c r="AA11" s="53">
        <f t="shared" si="5"/>
        <v>600000</v>
      </c>
      <c r="AB11" s="53">
        <f t="shared" si="6"/>
        <v>-40052</v>
      </c>
      <c r="AC11" s="53">
        <f t="shared" si="7"/>
        <v>-559948</v>
      </c>
      <c r="AD11" s="53">
        <f t="shared" si="8"/>
        <v>0</v>
      </c>
      <c r="AE11" s="50">
        <f t="shared" si="9"/>
        <v>559948</v>
      </c>
      <c r="AF11" s="50" t="s">
        <v>283</v>
      </c>
      <c r="AG11" s="51" t="s">
        <v>227</v>
      </c>
      <c r="AH11" s="51" t="s">
        <v>39</v>
      </c>
    </row>
    <row r="12" spans="1:34" s="4" customFormat="1" ht="30.75" customHeight="1" x14ac:dyDescent="0.25">
      <c r="A12" s="51" t="s">
        <v>27</v>
      </c>
      <c r="B12" s="52" t="s">
        <v>12</v>
      </c>
      <c r="C12" s="52" t="s">
        <v>13</v>
      </c>
      <c r="D12" s="52" t="s">
        <v>14</v>
      </c>
      <c r="E12" s="52" t="s">
        <v>18</v>
      </c>
      <c r="F12" s="52" t="s">
        <v>28</v>
      </c>
      <c r="G12" s="52" t="s">
        <v>13</v>
      </c>
      <c r="H12" s="51"/>
      <c r="I12" s="51" t="s">
        <v>246</v>
      </c>
      <c r="J12" s="65">
        <v>1282650</v>
      </c>
      <c r="K12" s="65">
        <v>0</v>
      </c>
      <c r="L12" s="65">
        <f t="shared" si="0"/>
        <v>1282650</v>
      </c>
      <c r="M12" s="65">
        <f t="shared" si="11"/>
        <v>1282650</v>
      </c>
      <c r="N12" s="65">
        <f t="shared" si="1"/>
        <v>0</v>
      </c>
      <c r="O12" s="69">
        <v>0</v>
      </c>
      <c r="P12" s="69">
        <v>-98222.22</v>
      </c>
      <c r="Q12" s="69">
        <f>-588808.28-274750-21018.14-168-12.86-17259.26-4036.24-278375</f>
        <v>-1184427.78</v>
      </c>
      <c r="R12" s="69">
        <f t="shared" si="2"/>
        <v>0</v>
      </c>
      <c r="S12" s="69">
        <f t="shared" si="3"/>
        <v>0</v>
      </c>
      <c r="T12" s="69">
        <v>0</v>
      </c>
      <c r="U12" s="116">
        <v>0</v>
      </c>
      <c r="V12" s="116">
        <v>0</v>
      </c>
      <c r="W12" s="116">
        <v>0</v>
      </c>
      <c r="X12" s="116">
        <f t="shared" si="4"/>
        <v>0</v>
      </c>
      <c r="Y12" s="116" t="s">
        <v>66</v>
      </c>
      <c r="Z12" s="116">
        <v>0</v>
      </c>
      <c r="AA12" s="53">
        <f t="shared" si="5"/>
        <v>1282650</v>
      </c>
      <c r="AB12" s="53">
        <f t="shared" si="6"/>
        <v>-98222.22</v>
      </c>
      <c r="AC12" s="53">
        <f t="shared" si="7"/>
        <v>-1184427.78</v>
      </c>
      <c r="AD12" s="53">
        <f t="shared" si="8"/>
        <v>0</v>
      </c>
      <c r="AE12" s="50">
        <f t="shared" si="9"/>
        <v>1184427.78</v>
      </c>
      <c r="AF12" s="50" t="s">
        <v>283</v>
      </c>
      <c r="AG12" s="51" t="s">
        <v>267</v>
      </c>
      <c r="AH12" s="51" t="s">
        <v>39</v>
      </c>
    </row>
    <row r="13" spans="1:34" s="4" customFormat="1" ht="49.5" customHeight="1" x14ac:dyDescent="0.25">
      <c r="A13" s="60" t="s">
        <v>29</v>
      </c>
      <c r="B13" s="61" t="s">
        <v>23</v>
      </c>
      <c r="C13" s="61" t="s">
        <v>13</v>
      </c>
      <c r="D13" s="61" t="s">
        <v>13</v>
      </c>
      <c r="E13" s="61" t="s">
        <v>18</v>
      </c>
      <c r="F13" s="60" t="s">
        <v>30</v>
      </c>
      <c r="G13" s="61" t="s">
        <v>13</v>
      </c>
      <c r="H13" s="60"/>
      <c r="I13" s="60" t="s">
        <v>244</v>
      </c>
      <c r="J13" s="65">
        <v>1773076</v>
      </c>
      <c r="K13" s="65">
        <v>0</v>
      </c>
      <c r="L13" s="65">
        <f t="shared" si="0"/>
        <v>1773076</v>
      </c>
      <c r="M13" s="65">
        <f t="shared" si="11"/>
        <v>1773076</v>
      </c>
      <c r="N13" s="65">
        <f t="shared" si="1"/>
        <v>0</v>
      </c>
      <c r="O13" s="69">
        <v>0</v>
      </c>
      <c r="P13" s="69">
        <v>0</v>
      </c>
      <c r="Q13" s="69">
        <v>0</v>
      </c>
      <c r="R13" s="69">
        <f t="shared" si="2"/>
        <v>1773076</v>
      </c>
      <c r="S13" s="69">
        <f t="shared" si="3"/>
        <v>1773076</v>
      </c>
      <c r="T13" s="69">
        <v>0</v>
      </c>
      <c r="U13" s="116">
        <v>0</v>
      </c>
      <c r="V13" s="116">
        <v>0</v>
      </c>
      <c r="W13" s="116">
        <v>0</v>
      </c>
      <c r="X13" s="116">
        <f t="shared" si="4"/>
        <v>1773076</v>
      </c>
      <c r="Y13" s="116" t="s">
        <v>66</v>
      </c>
      <c r="Z13" s="116">
        <v>0</v>
      </c>
      <c r="AA13" s="62">
        <f t="shared" si="5"/>
        <v>1773076</v>
      </c>
      <c r="AB13" s="62">
        <f t="shared" si="6"/>
        <v>0</v>
      </c>
      <c r="AC13" s="62">
        <f t="shared" si="7"/>
        <v>0</v>
      </c>
      <c r="AD13" s="62">
        <f t="shared" si="8"/>
        <v>1773076</v>
      </c>
      <c r="AE13" s="59">
        <f t="shared" si="9"/>
        <v>1773076</v>
      </c>
      <c r="AF13" s="97" t="s">
        <v>299</v>
      </c>
      <c r="AG13" s="60" t="s">
        <v>344</v>
      </c>
      <c r="AH13" s="60" t="s">
        <v>39</v>
      </c>
    </row>
    <row r="14" spans="1:34" s="4" customFormat="1" ht="30.75" customHeight="1" x14ac:dyDescent="0.25">
      <c r="A14" s="51" t="s">
        <v>31</v>
      </c>
      <c r="B14" s="52" t="s">
        <v>32</v>
      </c>
      <c r="C14" s="52" t="s">
        <v>13</v>
      </c>
      <c r="D14" s="52" t="s">
        <v>33</v>
      </c>
      <c r="E14" s="52" t="s">
        <v>18</v>
      </c>
      <c r="F14" s="52" t="s">
        <v>34</v>
      </c>
      <c r="G14" s="52" t="s">
        <v>39</v>
      </c>
      <c r="H14" s="52" t="s">
        <v>69</v>
      </c>
      <c r="I14" s="51" t="s">
        <v>252</v>
      </c>
      <c r="J14" s="65">
        <v>91000</v>
      </c>
      <c r="K14" s="65">
        <v>0</v>
      </c>
      <c r="L14" s="65">
        <f t="shared" si="0"/>
        <v>91000</v>
      </c>
      <c r="M14" s="65">
        <f t="shared" si="11"/>
        <v>91000</v>
      </c>
      <c r="N14" s="65">
        <f t="shared" si="1"/>
        <v>0</v>
      </c>
      <c r="O14" s="69">
        <v>0</v>
      </c>
      <c r="P14" s="69">
        <v>0</v>
      </c>
      <c r="Q14" s="69">
        <v>-3500</v>
      </c>
      <c r="R14" s="69">
        <f t="shared" si="2"/>
        <v>87500</v>
      </c>
      <c r="S14" s="69">
        <f t="shared" si="3"/>
        <v>87500</v>
      </c>
      <c r="T14" s="69">
        <v>0</v>
      </c>
      <c r="U14" s="116">
        <v>0</v>
      </c>
      <c r="V14" s="116">
        <v>0</v>
      </c>
      <c r="W14" s="116">
        <f>(-3500*5)-5883.28</f>
        <v>-23383.279999999999</v>
      </c>
      <c r="X14" s="116">
        <f t="shared" si="4"/>
        <v>64116.72</v>
      </c>
      <c r="Y14" s="116" t="s">
        <v>66</v>
      </c>
      <c r="Z14" s="116">
        <v>0</v>
      </c>
      <c r="AA14" s="53">
        <f t="shared" si="5"/>
        <v>91000</v>
      </c>
      <c r="AB14" s="53">
        <f t="shared" si="6"/>
        <v>0</v>
      </c>
      <c r="AC14" s="53">
        <f t="shared" si="7"/>
        <v>-26883.279999999999</v>
      </c>
      <c r="AD14" s="53">
        <f t="shared" si="8"/>
        <v>64116.72</v>
      </c>
      <c r="AE14" s="50">
        <f t="shared" si="9"/>
        <v>91000</v>
      </c>
      <c r="AF14" s="50" t="s">
        <v>284</v>
      </c>
      <c r="AG14" s="51" t="s">
        <v>346</v>
      </c>
      <c r="AH14" s="51" t="s">
        <v>39</v>
      </c>
    </row>
    <row r="15" spans="1:34" s="4" customFormat="1" ht="30.75" customHeight="1" x14ac:dyDescent="0.25">
      <c r="A15" s="51" t="s">
        <v>76</v>
      </c>
      <c r="B15" s="52" t="s">
        <v>23</v>
      </c>
      <c r="C15" s="52" t="s">
        <v>13</v>
      </c>
      <c r="D15" s="52" t="s">
        <v>13</v>
      </c>
      <c r="E15" s="52" t="s">
        <v>18</v>
      </c>
      <c r="F15" s="51" t="s">
        <v>35</v>
      </c>
      <c r="G15" s="51" t="s">
        <v>39</v>
      </c>
      <c r="H15" s="51" t="s">
        <v>69</v>
      </c>
      <c r="I15" s="51" t="s">
        <v>244</v>
      </c>
      <c r="J15" s="65">
        <v>300000</v>
      </c>
      <c r="K15" s="65">
        <v>0</v>
      </c>
      <c r="L15" s="65">
        <f t="shared" si="0"/>
        <v>300000</v>
      </c>
      <c r="M15" s="65">
        <f t="shared" si="11"/>
        <v>300000</v>
      </c>
      <c r="N15" s="65">
        <f t="shared" si="1"/>
        <v>0</v>
      </c>
      <c r="O15" s="69">
        <v>0</v>
      </c>
      <c r="P15" s="69">
        <v>0</v>
      </c>
      <c r="Q15" s="69">
        <v>-300000</v>
      </c>
      <c r="R15" s="69">
        <f t="shared" si="2"/>
        <v>0</v>
      </c>
      <c r="S15" s="69">
        <f t="shared" si="3"/>
        <v>0</v>
      </c>
      <c r="T15" s="69">
        <v>0</v>
      </c>
      <c r="U15" s="116">
        <v>0</v>
      </c>
      <c r="V15" s="116">
        <v>0</v>
      </c>
      <c r="W15" s="116">
        <v>0</v>
      </c>
      <c r="X15" s="116">
        <f t="shared" si="4"/>
        <v>0</v>
      </c>
      <c r="Y15" s="116" t="s">
        <v>66</v>
      </c>
      <c r="Z15" s="116">
        <v>0</v>
      </c>
      <c r="AA15" s="53">
        <f t="shared" si="5"/>
        <v>300000</v>
      </c>
      <c r="AB15" s="53">
        <f t="shared" si="6"/>
        <v>0</v>
      </c>
      <c r="AC15" s="53">
        <f t="shared" si="7"/>
        <v>-300000</v>
      </c>
      <c r="AD15" s="53">
        <f t="shared" si="8"/>
        <v>0</v>
      </c>
      <c r="AE15" s="50">
        <f t="shared" si="9"/>
        <v>300000</v>
      </c>
      <c r="AF15" s="50" t="s">
        <v>281</v>
      </c>
      <c r="AG15" s="51" t="s">
        <v>229</v>
      </c>
      <c r="AH15" s="51" t="s">
        <v>39</v>
      </c>
    </row>
    <row r="16" spans="1:34" s="4" customFormat="1" ht="30.75" customHeight="1" x14ac:dyDescent="0.25">
      <c r="A16" s="46" t="s">
        <v>36</v>
      </c>
      <c r="B16" s="47" t="s">
        <v>23</v>
      </c>
      <c r="C16" s="47" t="s">
        <v>13</v>
      </c>
      <c r="D16" s="47" t="s">
        <v>39</v>
      </c>
      <c r="E16" s="47" t="s">
        <v>18</v>
      </c>
      <c r="F16" s="46" t="s">
        <v>35</v>
      </c>
      <c r="G16" s="46" t="s">
        <v>39</v>
      </c>
      <c r="H16" s="46" t="s">
        <v>69</v>
      </c>
      <c r="I16" s="46" t="s">
        <v>248</v>
      </c>
      <c r="J16" s="65">
        <v>725000</v>
      </c>
      <c r="K16" s="65">
        <v>0</v>
      </c>
      <c r="L16" s="65">
        <f t="shared" si="0"/>
        <v>725000</v>
      </c>
      <c r="M16" s="65">
        <f t="shared" si="11"/>
        <v>725000</v>
      </c>
      <c r="N16" s="65">
        <f t="shared" si="1"/>
        <v>0</v>
      </c>
      <c r="O16" s="69">
        <v>0</v>
      </c>
      <c r="P16" s="69">
        <v>-725000</v>
      </c>
      <c r="Q16" s="69">
        <v>0</v>
      </c>
      <c r="R16" s="69">
        <f t="shared" si="2"/>
        <v>0</v>
      </c>
      <c r="S16" s="69">
        <f t="shared" si="3"/>
        <v>0</v>
      </c>
      <c r="T16" s="69">
        <v>0</v>
      </c>
      <c r="U16" s="116">
        <v>0</v>
      </c>
      <c r="V16" s="116">
        <v>0</v>
      </c>
      <c r="W16" s="116">
        <v>0</v>
      </c>
      <c r="X16" s="116">
        <f t="shared" si="4"/>
        <v>0</v>
      </c>
      <c r="Y16" s="116" t="s">
        <v>66</v>
      </c>
      <c r="Z16" s="116">
        <v>0</v>
      </c>
      <c r="AA16" s="48">
        <f t="shared" si="5"/>
        <v>725000</v>
      </c>
      <c r="AB16" s="48">
        <f t="shared" si="6"/>
        <v>-725000</v>
      </c>
      <c r="AC16" s="48">
        <f t="shared" si="7"/>
        <v>0</v>
      </c>
      <c r="AD16" s="48">
        <f t="shared" si="8"/>
        <v>0</v>
      </c>
      <c r="AE16" s="49">
        <f t="shared" si="9"/>
        <v>0</v>
      </c>
      <c r="AF16" s="49"/>
      <c r="AG16" s="46" t="s">
        <v>230</v>
      </c>
      <c r="AH16" s="46" t="s">
        <v>39</v>
      </c>
    </row>
    <row r="17" spans="1:34" s="4" customFormat="1" ht="70.5" customHeight="1" x14ac:dyDescent="0.25">
      <c r="A17" s="51" t="s">
        <v>37</v>
      </c>
      <c r="B17" s="52" t="s">
        <v>38</v>
      </c>
      <c r="C17" s="52" t="s">
        <v>13</v>
      </c>
      <c r="D17" s="52" t="s">
        <v>39</v>
      </c>
      <c r="E17" s="52" t="s">
        <v>18</v>
      </c>
      <c r="F17" s="51" t="s">
        <v>40</v>
      </c>
      <c r="G17" s="51" t="s">
        <v>39</v>
      </c>
      <c r="H17" s="51" t="s">
        <v>69</v>
      </c>
      <c r="I17" s="51" t="s">
        <v>66</v>
      </c>
      <c r="J17" s="65">
        <v>200000</v>
      </c>
      <c r="K17" s="65">
        <v>0</v>
      </c>
      <c r="L17" s="65">
        <f t="shared" si="0"/>
        <v>200000</v>
      </c>
      <c r="M17" s="65">
        <f t="shared" si="11"/>
        <v>200000</v>
      </c>
      <c r="N17" s="65">
        <f t="shared" si="1"/>
        <v>0</v>
      </c>
      <c r="O17" s="69">
        <v>200000</v>
      </c>
      <c r="P17" s="69">
        <v>0</v>
      </c>
      <c r="Q17" s="69">
        <v>0</v>
      </c>
      <c r="R17" s="69">
        <f t="shared" si="2"/>
        <v>400000</v>
      </c>
      <c r="S17" s="69">
        <f t="shared" si="3"/>
        <v>400000</v>
      </c>
      <c r="T17" s="69">
        <v>0</v>
      </c>
      <c r="U17" s="116">
        <v>0</v>
      </c>
      <c r="V17" s="116">
        <v>0</v>
      </c>
      <c r="W17" s="116">
        <f>-11482-1500-10142.64-6322-7096-1468.8-7259-2346.22-8100-12241-12070-360-14990-2883.48-15610-998.15-7499-8804.05-7023.56-8900-4498.06</f>
        <v>-151593.96</v>
      </c>
      <c r="X17" s="116">
        <f t="shared" si="4"/>
        <v>248406.04</v>
      </c>
      <c r="Y17" s="116" t="s">
        <v>66</v>
      </c>
      <c r="Z17" s="116">
        <v>0</v>
      </c>
      <c r="AA17" s="53">
        <f t="shared" si="5"/>
        <v>400000</v>
      </c>
      <c r="AB17" s="53">
        <f t="shared" si="6"/>
        <v>0</v>
      </c>
      <c r="AC17" s="53">
        <f t="shared" si="7"/>
        <v>-151593.96</v>
      </c>
      <c r="AD17" s="53">
        <f t="shared" si="8"/>
        <v>248406.04</v>
      </c>
      <c r="AE17" s="50">
        <f t="shared" si="9"/>
        <v>400000</v>
      </c>
      <c r="AF17" s="81" t="s">
        <v>300</v>
      </c>
      <c r="AG17" s="51" t="s">
        <v>341</v>
      </c>
      <c r="AH17" s="121" t="s">
        <v>13</v>
      </c>
    </row>
    <row r="18" spans="1:34" s="4" customFormat="1" ht="30.75" customHeight="1" x14ac:dyDescent="0.25">
      <c r="A18" s="21" t="s">
        <v>41</v>
      </c>
      <c r="B18" s="22" t="s">
        <v>23</v>
      </c>
      <c r="C18" s="22" t="s">
        <v>13</v>
      </c>
      <c r="D18" s="22" t="s">
        <v>13</v>
      </c>
      <c r="E18" s="22" t="s">
        <v>45</v>
      </c>
      <c r="F18" s="22" t="s">
        <v>46</v>
      </c>
      <c r="G18" s="79" t="s">
        <v>39</v>
      </c>
      <c r="H18" s="79" t="s">
        <v>69</v>
      </c>
      <c r="I18" s="79" t="s">
        <v>245</v>
      </c>
      <c r="J18" s="65">
        <v>540000</v>
      </c>
      <c r="K18" s="65">
        <v>0</v>
      </c>
      <c r="L18" s="65">
        <f t="shared" si="0"/>
        <v>540000</v>
      </c>
      <c r="M18" s="65">
        <f t="shared" si="11"/>
        <v>540000</v>
      </c>
      <c r="N18" s="65">
        <f t="shared" si="1"/>
        <v>0</v>
      </c>
      <c r="O18" s="69">
        <v>0</v>
      </c>
      <c r="P18" s="69">
        <v>0</v>
      </c>
      <c r="Q18" s="69">
        <v>-540000</v>
      </c>
      <c r="R18" s="69">
        <f t="shared" si="2"/>
        <v>0</v>
      </c>
      <c r="S18" s="69">
        <f t="shared" si="3"/>
        <v>0</v>
      </c>
      <c r="T18" s="69">
        <v>0</v>
      </c>
      <c r="U18" s="116">
        <v>0</v>
      </c>
      <c r="V18" s="116">
        <v>0</v>
      </c>
      <c r="W18" s="116">
        <v>0</v>
      </c>
      <c r="X18" s="116">
        <f t="shared" si="4"/>
        <v>0</v>
      </c>
      <c r="Y18" s="116" t="s">
        <v>66</v>
      </c>
      <c r="Z18" s="116">
        <v>0</v>
      </c>
      <c r="AA18" s="20">
        <f t="shared" si="5"/>
        <v>540000</v>
      </c>
      <c r="AB18" s="20">
        <f t="shared" si="6"/>
        <v>0</v>
      </c>
      <c r="AC18" s="20">
        <f t="shared" si="7"/>
        <v>-540000</v>
      </c>
      <c r="AD18" s="20">
        <f t="shared" si="8"/>
        <v>0</v>
      </c>
      <c r="AE18" s="24">
        <f t="shared" si="9"/>
        <v>540000</v>
      </c>
      <c r="AF18" s="94"/>
      <c r="AG18" s="21" t="s">
        <v>293</v>
      </c>
      <c r="AH18" s="21" t="s">
        <v>39</v>
      </c>
    </row>
    <row r="19" spans="1:34" s="4" customFormat="1" ht="30.75" customHeight="1" x14ac:dyDescent="0.25">
      <c r="A19" s="51" t="s">
        <v>251</v>
      </c>
      <c r="B19" s="52" t="s">
        <v>23</v>
      </c>
      <c r="C19" s="52" t="s">
        <v>13</v>
      </c>
      <c r="D19" s="52" t="s">
        <v>13</v>
      </c>
      <c r="E19" s="52" t="s">
        <v>18</v>
      </c>
      <c r="F19" s="54" t="s">
        <v>42</v>
      </c>
      <c r="G19" s="54" t="s">
        <v>39</v>
      </c>
      <c r="H19" s="54" t="s">
        <v>69</v>
      </c>
      <c r="I19" s="54" t="s">
        <v>249</v>
      </c>
      <c r="J19" s="65">
        <v>30000</v>
      </c>
      <c r="K19" s="65">
        <v>0</v>
      </c>
      <c r="L19" s="65">
        <f t="shared" si="0"/>
        <v>30000</v>
      </c>
      <c r="M19" s="65">
        <f t="shared" si="11"/>
        <v>30000</v>
      </c>
      <c r="N19" s="65">
        <f t="shared" si="1"/>
        <v>0</v>
      </c>
      <c r="O19" s="69">
        <v>0</v>
      </c>
      <c r="P19" s="69">
        <v>0</v>
      </c>
      <c r="Q19" s="69">
        <v>-30000</v>
      </c>
      <c r="R19" s="69">
        <f t="shared" si="2"/>
        <v>0</v>
      </c>
      <c r="S19" s="69">
        <f t="shared" si="3"/>
        <v>0</v>
      </c>
      <c r="T19" s="69">
        <v>0</v>
      </c>
      <c r="U19" s="116">
        <v>0</v>
      </c>
      <c r="V19" s="116">
        <v>0</v>
      </c>
      <c r="W19" s="116">
        <v>0</v>
      </c>
      <c r="X19" s="116">
        <f t="shared" si="4"/>
        <v>0</v>
      </c>
      <c r="Y19" s="116" t="s">
        <v>66</v>
      </c>
      <c r="Z19" s="116">
        <v>0</v>
      </c>
      <c r="AA19" s="53">
        <f t="shared" si="5"/>
        <v>30000</v>
      </c>
      <c r="AB19" s="53">
        <f t="shared" si="6"/>
        <v>0</v>
      </c>
      <c r="AC19" s="53">
        <f t="shared" si="7"/>
        <v>-30000</v>
      </c>
      <c r="AD19" s="53">
        <f t="shared" si="8"/>
        <v>0</v>
      </c>
      <c r="AE19" s="50">
        <f t="shared" si="9"/>
        <v>30000</v>
      </c>
      <c r="AF19" s="50" t="s">
        <v>285</v>
      </c>
      <c r="AG19" s="51" t="s">
        <v>225</v>
      </c>
      <c r="AH19" s="51" t="s">
        <v>39</v>
      </c>
    </row>
    <row r="20" spans="1:34" s="4" customFormat="1" ht="33" customHeight="1" x14ac:dyDescent="0.25">
      <c r="A20" s="51" t="s">
        <v>43</v>
      </c>
      <c r="B20" s="52" t="s">
        <v>23</v>
      </c>
      <c r="C20" s="52" t="s">
        <v>13</v>
      </c>
      <c r="D20" s="52" t="s">
        <v>13</v>
      </c>
      <c r="E20" s="52" t="s">
        <v>18</v>
      </c>
      <c r="F20" s="51" t="s">
        <v>44</v>
      </c>
      <c r="G20" s="52" t="s">
        <v>13</v>
      </c>
      <c r="H20" s="51"/>
      <c r="I20" s="51" t="s">
        <v>244</v>
      </c>
      <c r="J20" s="65">
        <v>1217970</v>
      </c>
      <c r="K20" s="65">
        <v>0</v>
      </c>
      <c r="L20" s="65">
        <f t="shared" si="0"/>
        <v>1217970</v>
      </c>
      <c r="M20" s="65">
        <f t="shared" si="11"/>
        <v>1217970</v>
      </c>
      <c r="N20" s="65">
        <f t="shared" si="1"/>
        <v>0</v>
      </c>
      <c r="O20" s="69">
        <v>0</v>
      </c>
      <c r="P20" s="69">
        <v>0</v>
      </c>
      <c r="Q20" s="69">
        <f>-72353-220638-31845-34730-12239.92</f>
        <v>-371805.92</v>
      </c>
      <c r="R20" s="69">
        <f t="shared" si="2"/>
        <v>846164.08000000007</v>
      </c>
      <c r="S20" s="69">
        <f t="shared" si="3"/>
        <v>846164.08000000007</v>
      </c>
      <c r="T20" s="69">
        <v>0</v>
      </c>
      <c r="U20" s="116">
        <v>0</v>
      </c>
      <c r="V20" s="116">
        <v>0</v>
      </c>
      <c r="W20" s="116">
        <f>-115350.87-230734.07</f>
        <v>-346084.94</v>
      </c>
      <c r="X20" s="116">
        <f t="shared" si="4"/>
        <v>500079.14000000007</v>
      </c>
      <c r="Y20" s="116" t="s">
        <v>66</v>
      </c>
      <c r="Z20" s="116">
        <v>0</v>
      </c>
      <c r="AA20" s="53">
        <f t="shared" si="5"/>
        <v>1217970</v>
      </c>
      <c r="AB20" s="53">
        <f t="shared" si="6"/>
        <v>0</v>
      </c>
      <c r="AC20" s="53">
        <f t="shared" si="7"/>
        <v>-717890.86</v>
      </c>
      <c r="AD20" s="53">
        <f t="shared" si="8"/>
        <v>500079.14000000007</v>
      </c>
      <c r="AE20" s="50">
        <f t="shared" si="9"/>
        <v>1217970</v>
      </c>
      <c r="AF20" s="81" t="s">
        <v>286</v>
      </c>
      <c r="AG20" s="51" t="s">
        <v>342</v>
      </c>
      <c r="AH20" s="51" t="s">
        <v>39</v>
      </c>
    </row>
    <row r="21" spans="1:34" s="4" customFormat="1" ht="53.25" customHeight="1" x14ac:dyDescent="0.25">
      <c r="A21" s="21" t="s">
        <v>277</v>
      </c>
      <c r="B21" s="22" t="s">
        <v>12</v>
      </c>
      <c r="C21" s="22" t="s">
        <v>13</v>
      </c>
      <c r="D21" s="22" t="s">
        <v>14</v>
      </c>
      <c r="E21" s="22" t="s">
        <v>45</v>
      </c>
      <c r="F21" s="22" t="s">
        <v>46</v>
      </c>
      <c r="G21" s="22" t="s">
        <v>13</v>
      </c>
      <c r="H21" s="21"/>
      <c r="I21" s="21" t="s">
        <v>252</v>
      </c>
      <c r="J21" s="65">
        <v>1059000</v>
      </c>
      <c r="K21" s="65">
        <v>0</v>
      </c>
      <c r="L21" s="65">
        <f t="shared" ref="L21" si="12">J21+K21</f>
        <v>1059000</v>
      </c>
      <c r="M21" s="65">
        <f>L21</f>
        <v>1059000</v>
      </c>
      <c r="N21" s="65">
        <f t="shared" si="1"/>
        <v>0</v>
      </c>
      <c r="O21" s="69">
        <v>0</v>
      </c>
      <c r="P21" s="69">
        <v>0</v>
      </c>
      <c r="Q21" s="69">
        <v>0</v>
      </c>
      <c r="R21" s="69">
        <f t="shared" si="2"/>
        <v>1059000</v>
      </c>
      <c r="S21" s="69">
        <f t="shared" si="3"/>
        <v>1059000</v>
      </c>
      <c r="T21" s="69">
        <v>0</v>
      </c>
      <c r="U21" s="116">
        <v>0</v>
      </c>
      <c r="V21" s="116">
        <v>0</v>
      </c>
      <c r="W21" s="116">
        <f>-17126.55-17126.55-17195.15-14251.2-4769-6616.95</f>
        <v>-77085.399999999994</v>
      </c>
      <c r="X21" s="116">
        <f t="shared" si="4"/>
        <v>981914.6</v>
      </c>
      <c r="Y21" s="116" t="s">
        <v>66</v>
      </c>
      <c r="Z21" s="116">
        <v>0</v>
      </c>
      <c r="AA21" s="20">
        <f t="shared" si="5"/>
        <v>1059000</v>
      </c>
      <c r="AB21" s="20">
        <f t="shared" si="6"/>
        <v>0</v>
      </c>
      <c r="AC21" s="20">
        <f t="shared" si="7"/>
        <v>-77085.399999999994</v>
      </c>
      <c r="AD21" s="20">
        <f t="shared" si="8"/>
        <v>981914.6</v>
      </c>
      <c r="AE21" s="24">
        <f t="shared" si="9"/>
        <v>1059000</v>
      </c>
      <c r="AF21" s="98" t="s">
        <v>294</v>
      </c>
      <c r="AG21" s="71" t="s">
        <v>355</v>
      </c>
      <c r="AH21" s="122" t="s">
        <v>13</v>
      </c>
    </row>
    <row r="22" spans="1:34" s="4" customFormat="1" ht="30.75" customHeight="1" x14ac:dyDescent="0.25">
      <c r="A22" s="21" t="s">
        <v>113</v>
      </c>
      <c r="B22" s="22" t="s">
        <v>12</v>
      </c>
      <c r="C22" s="22" t="s">
        <v>13</v>
      </c>
      <c r="D22" s="22" t="s">
        <v>14</v>
      </c>
      <c r="E22" s="22" t="s">
        <v>45</v>
      </c>
      <c r="F22" s="22" t="s">
        <v>46</v>
      </c>
      <c r="G22" s="22" t="s">
        <v>13</v>
      </c>
      <c r="H22" s="21"/>
      <c r="I22" s="21" t="s">
        <v>252</v>
      </c>
      <c r="J22" s="65">
        <v>1011571</v>
      </c>
      <c r="K22" s="65">
        <v>0</v>
      </c>
      <c r="L22" s="65">
        <f t="shared" si="0"/>
        <v>1011571</v>
      </c>
      <c r="M22" s="65">
        <f>L22</f>
        <v>1011571</v>
      </c>
      <c r="N22" s="65">
        <f t="shared" si="1"/>
        <v>0</v>
      </c>
      <c r="O22" s="69">
        <v>0</v>
      </c>
      <c r="P22" s="69">
        <v>0</v>
      </c>
      <c r="Q22" s="69">
        <v>0</v>
      </c>
      <c r="R22" s="69">
        <f t="shared" si="2"/>
        <v>1011571</v>
      </c>
      <c r="S22" s="69">
        <f t="shared" si="3"/>
        <v>1011571</v>
      </c>
      <c r="T22" s="69">
        <v>0</v>
      </c>
      <c r="U22" s="116">
        <v>0</v>
      </c>
      <c r="V22" s="116">
        <v>0</v>
      </c>
      <c r="W22" s="116">
        <v>-297623.94</v>
      </c>
      <c r="X22" s="116">
        <f t="shared" si="4"/>
        <v>713947.06</v>
      </c>
      <c r="Y22" s="116" t="s">
        <v>66</v>
      </c>
      <c r="Z22" s="116">
        <v>0</v>
      </c>
      <c r="AA22" s="20">
        <f t="shared" si="5"/>
        <v>1011571</v>
      </c>
      <c r="AB22" s="20">
        <f t="shared" si="6"/>
        <v>0</v>
      </c>
      <c r="AC22" s="20">
        <f t="shared" si="7"/>
        <v>-297623.94</v>
      </c>
      <c r="AD22" s="20">
        <f t="shared" si="8"/>
        <v>713947.06</v>
      </c>
      <c r="AE22" s="24">
        <f t="shared" si="9"/>
        <v>1011571</v>
      </c>
      <c r="AF22" s="24"/>
      <c r="AG22" s="71" t="s">
        <v>347</v>
      </c>
      <c r="AH22" s="71" t="s">
        <v>39</v>
      </c>
    </row>
    <row r="23" spans="1:34" s="4" customFormat="1" ht="30.75" customHeight="1" x14ac:dyDescent="0.25">
      <c r="A23" s="46" t="s">
        <v>47</v>
      </c>
      <c r="B23" s="47" t="s">
        <v>12</v>
      </c>
      <c r="C23" s="47" t="s">
        <v>13</v>
      </c>
      <c r="D23" s="47" t="s">
        <v>14</v>
      </c>
      <c r="E23" s="47" t="s">
        <v>18</v>
      </c>
      <c r="F23" s="46" t="s">
        <v>48</v>
      </c>
      <c r="G23" s="46" t="s">
        <v>39</v>
      </c>
      <c r="H23" s="46" t="s">
        <v>69</v>
      </c>
      <c r="I23" s="46" t="s">
        <v>248</v>
      </c>
      <c r="J23" s="65">
        <v>0</v>
      </c>
      <c r="K23" s="65">
        <v>0</v>
      </c>
      <c r="L23" s="65">
        <f t="shared" si="0"/>
        <v>0</v>
      </c>
      <c r="M23" s="65">
        <v>0</v>
      </c>
      <c r="N23" s="65">
        <f t="shared" si="1"/>
        <v>0</v>
      </c>
      <c r="O23" s="69">
        <v>55000</v>
      </c>
      <c r="P23" s="69">
        <v>-55000</v>
      </c>
      <c r="Q23" s="69">
        <v>0</v>
      </c>
      <c r="R23" s="69">
        <f t="shared" si="2"/>
        <v>0</v>
      </c>
      <c r="S23" s="69">
        <f t="shared" si="3"/>
        <v>0</v>
      </c>
      <c r="T23" s="69">
        <v>0</v>
      </c>
      <c r="U23" s="116">
        <v>0</v>
      </c>
      <c r="V23" s="116">
        <v>0</v>
      </c>
      <c r="W23" s="116">
        <v>0</v>
      </c>
      <c r="X23" s="116">
        <f t="shared" si="4"/>
        <v>0</v>
      </c>
      <c r="Y23" s="116" t="s">
        <v>66</v>
      </c>
      <c r="Z23" s="116">
        <v>0</v>
      </c>
      <c r="AA23" s="48">
        <f t="shared" si="5"/>
        <v>55000</v>
      </c>
      <c r="AB23" s="48">
        <f t="shared" si="6"/>
        <v>-55000</v>
      </c>
      <c r="AC23" s="48">
        <f t="shared" si="7"/>
        <v>0</v>
      </c>
      <c r="AD23" s="48">
        <f t="shared" si="8"/>
        <v>0</v>
      </c>
      <c r="AE23" s="49">
        <f t="shared" si="9"/>
        <v>0</v>
      </c>
      <c r="AF23" s="49"/>
      <c r="AG23" s="125" t="s">
        <v>365</v>
      </c>
      <c r="AH23" s="46" t="s">
        <v>39</v>
      </c>
    </row>
    <row r="24" spans="1:34" s="4" customFormat="1" ht="37.5" customHeight="1" x14ac:dyDescent="0.25">
      <c r="A24" s="60" t="s">
        <v>49</v>
      </c>
      <c r="B24" s="61" t="s">
        <v>38</v>
      </c>
      <c r="C24" s="61" t="s">
        <v>13</v>
      </c>
      <c r="D24" s="61" t="s">
        <v>39</v>
      </c>
      <c r="E24" s="61" t="s">
        <v>18</v>
      </c>
      <c r="F24" s="63" t="s">
        <v>72</v>
      </c>
      <c r="G24" s="63" t="s">
        <v>39</v>
      </c>
      <c r="H24" s="63" t="s">
        <v>69</v>
      </c>
      <c r="I24" s="63" t="s">
        <v>66</v>
      </c>
      <c r="J24" s="65">
        <v>0</v>
      </c>
      <c r="K24" s="65">
        <v>0</v>
      </c>
      <c r="L24" s="65">
        <f t="shared" si="0"/>
        <v>0</v>
      </c>
      <c r="M24" s="65">
        <v>0</v>
      </c>
      <c r="N24" s="65">
        <f t="shared" si="1"/>
        <v>0</v>
      </c>
      <c r="O24" s="69">
        <f>220000+200000</f>
        <v>420000</v>
      </c>
      <c r="P24" s="69">
        <v>0</v>
      </c>
      <c r="Q24" s="69">
        <v>0</v>
      </c>
      <c r="R24" s="69">
        <f t="shared" si="2"/>
        <v>420000</v>
      </c>
      <c r="S24" s="69">
        <f t="shared" ref="S24:S46" si="13">R24</f>
        <v>420000</v>
      </c>
      <c r="T24" s="69">
        <v>0</v>
      </c>
      <c r="U24" s="116">
        <v>0</v>
      </c>
      <c r="V24" s="116">
        <v>0</v>
      </c>
      <c r="W24" s="116">
        <v>0</v>
      </c>
      <c r="X24" s="116">
        <f t="shared" ref="X24:X34" si="14">SUM(S24,U24,V24,W24)</f>
        <v>420000</v>
      </c>
      <c r="Y24" s="116" t="s">
        <v>66</v>
      </c>
      <c r="Z24" s="116">
        <v>0</v>
      </c>
      <c r="AA24" s="62">
        <f t="shared" si="5"/>
        <v>420000</v>
      </c>
      <c r="AB24" s="62">
        <f t="shared" si="6"/>
        <v>0</v>
      </c>
      <c r="AC24" s="62">
        <f t="shared" si="7"/>
        <v>0</v>
      </c>
      <c r="AD24" s="62">
        <f t="shared" si="8"/>
        <v>420000</v>
      </c>
      <c r="AE24" s="59">
        <f t="shared" si="9"/>
        <v>420000</v>
      </c>
      <c r="AF24" s="97" t="s">
        <v>287</v>
      </c>
      <c r="AG24" s="60" t="s">
        <v>364</v>
      </c>
      <c r="AH24" s="121" t="s">
        <v>13</v>
      </c>
    </row>
    <row r="25" spans="1:34" s="4" customFormat="1" ht="30.75" customHeight="1" x14ac:dyDescent="0.25">
      <c r="A25" s="21" t="s">
        <v>114</v>
      </c>
      <c r="B25" s="22" t="s">
        <v>23</v>
      </c>
      <c r="C25" s="22" t="s">
        <v>13</v>
      </c>
      <c r="D25" s="22" t="s">
        <v>13</v>
      </c>
      <c r="E25" s="22" t="s">
        <v>45</v>
      </c>
      <c r="F25" s="22" t="s">
        <v>46</v>
      </c>
      <c r="G25" s="22" t="s">
        <v>39</v>
      </c>
      <c r="H25" s="22" t="s">
        <v>69</v>
      </c>
      <c r="I25" s="79" t="s">
        <v>245</v>
      </c>
      <c r="J25" s="65">
        <v>0</v>
      </c>
      <c r="K25" s="65">
        <v>0</v>
      </c>
      <c r="L25" s="65">
        <f t="shared" si="0"/>
        <v>0</v>
      </c>
      <c r="M25" s="65">
        <v>0</v>
      </c>
      <c r="N25" s="65">
        <f t="shared" si="1"/>
        <v>0</v>
      </c>
      <c r="O25" s="69">
        <v>48677</v>
      </c>
      <c r="P25" s="69">
        <v>0</v>
      </c>
      <c r="Q25" s="69">
        <v>-48677</v>
      </c>
      <c r="R25" s="69">
        <f t="shared" si="2"/>
        <v>0</v>
      </c>
      <c r="S25" s="69">
        <f t="shared" si="13"/>
        <v>0</v>
      </c>
      <c r="T25" s="69">
        <v>0</v>
      </c>
      <c r="U25" s="116">
        <v>0</v>
      </c>
      <c r="V25" s="116">
        <v>0</v>
      </c>
      <c r="W25" s="116">
        <v>0</v>
      </c>
      <c r="X25" s="116">
        <f t="shared" si="14"/>
        <v>0</v>
      </c>
      <c r="Y25" s="116" t="s">
        <v>66</v>
      </c>
      <c r="Z25" s="116">
        <v>0</v>
      </c>
      <c r="AA25" s="20">
        <f t="shared" si="5"/>
        <v>48677</v>
      </c>
      <c r="AB25" s="20">
        <f t="shared" si="6"/>
        <v>0</v>
      </c>
      <c r="AC25" s="20">
        <f t="shared" si="7"/>
        <v>-48677</v>
      </c>
      <c r="AD25" s="20">
        <f t="shared" si="8"/>
        <v>0</v>
      </c>
      <c r="AE25" s="24">
        <f t="shared" si="9"/>
        <v>48677</v>
      </c>
      <c r="AF25" s="24" t="s">
        <v>281</v>
      </c>
      <c r="AG25" s="21" t="s">
        <v>224</v>
      </c>
      <c r="AH25" s="21" t="s">
        <v>39</v>
      </c>
    </row>
    <row r="26" spans="1:34" s="4" customFormat="1" ht="30.75" customHeight="1" x14ac:dyDescent="0.25">
      <c r="A26" s="51" t="s">
        <v>235</v>
      </c>
      <c r="B26" s="52" t="s">
        <v>38</v>
      </c>
      <c r="C26" s="52" t="s">
        <v>13</v>
      </c>
      <c r="D26" s="52" t="s">
        <v>39</v>
      </c>
      <c r="E26" s="52" t="s">
        <v>18</v>
      </c>
      <c r="F26" s="51" t="s">
        <v>19</v>
      </c>
      <c r="G26" s="51" t="s">
        <v>39</v>
      </c>
      <c r="H26" s="51" t="s">
        <v>69</v>
      </c>
      <c r="I26" s="51" t="s">
        <v>249</v>
      </c>
      <c r="J26" s="65">
        <v>0</v>
      </c>
      <c r="K26" s="65">
        <v>0</v>
      </c>
      <c r="L26" s="65">
        <f t="shared" si="0"/>
        <v>0</v>
      </c>
      <c r="M26" s="65">
        <v>0</v>
      </c>
      <c r="N26" s="65">
        <f t="shared" si="1"/>
        <v>0</v>
      </c>
      <c r="O26" s="69">
        <v>500000</v>
      </c>
      <c r="P26" s="69">
        <v>0</v>
      </c>
      <c r="Q26" s="69">
        <v>0</v>
      </c>
      <c r="R26" s="69">
        <f t="shared" si="2"/>
        <v>500000</v>
      </c>
      <c r="S26" s="69">
        <f t="shared" si="13"/>
        <v>500000</v>
      </c>
      <c r="T26" s="69">
        <v>0</v>
      </c>
      <c r="U26" s="116">
        <v>0</v>
      </c>
      <c r="V26" s="116">
        <v>0</v>
      </c>
      <c r="W26" s="116">
        <v>-500000</v>
      </c>
      <c r="X26" s="116">
        <f t="shared" si="14"/>
        <v>0</v>
      </c>
      <c r="Y26" s="116" t="s">
        <v>66</v>
      </c>
      <c r="Z26" s="116">
        <v>0</v>
      </c>
      <c r="AA26" s="53">
        <f t="shared" si="5"/>
        <v>500000</v>
      </c>
      <c r="AB26" s="53">
        <f t="shared" si="6"/>
        <v>0</v>
      </c>
      <c r="AC26" s="53">
        <f t="shared" si="7"/>
        <v>-500000</v>
      </c>
      <c r="AD26" s="53">
        <f t="shared" si="8"/>
        <v>0</v>
      </c>
      <c r="AE26" s="50">
        <f t="shared" si="9"/>
        <v>500000</v>
      </c>
      <c r="AF26" s="81" t="s">
        <v>301</v>
      </c>
      <c r="AG26" s="51" t="s">
        <v>348</v>
      </c>
      <c r="AH26" s="51" t="s">
        <v>39</v>
      </c>
    </row>
    <row r="27" spans="1:34" ht="34.5" customHeight="1" x14ac:dyDescent="0.25">
      <c r="A27" s="2" t="s">
        <v>0</v>
      </c>
      <c r="B27" s="2" t="s">
        <v>1</v>
      </c>
      <c r="C27" s="2" t="s">
        <v>2</v>
      </c>
      <c r="D27" s="2" t="s">
        <v>3</v>
      </c>
      <c r="E27" s="2" t="s">
        <v>4</v>
      </c>
      <c r="F27" s="2" t="s">
        <v>5</v>
      </c>
      <c r="G27" s="25" t="s">
        <v>80</v>
      </c>
      <c r="H27" s="2" t="s">
        <v>79</v>
      </c>
      <c r="I27" s="25" t="s">
        <v>247</v>
      </c>
      <c r="J27" s="64" t="s">
        <v>204</v>
      </c>
      <c r="K27" s="64" t="s">
        <v>205</v>
      </c>
      <c r="L27" s="64" t="s">
        <v>206</v>
      </c>
      <c r="M27" s="64" t="s">
        <v>297</v>
      </c>
      <c r="N27" s="64" t="s">
        <v>213</v>
      </c>
      <c r="O27" s="67" t="s">
        <v>207</v>
      </c>
      <c r="P27" s="68" t="s">
        <v>208</v>
      </c>
      <c r="Q27" s="68" t="s">
        <v>7</v>
      </c>
      <c r="R27" s="67" t="s">
        <v>210</v>
      </c>
      <c r="S27" s="67" t="s">
        <v>298</v>
      </c>
      <c r="T27" s="67" t="s">
        <v>214</v>
      </c>
      <c r="U27" s="114" t="s">
        <v>321</v>
      </c>
      <c r="V27" s="115" t="s">
        <v>322</v>
      </c>
      <c r="W27" s="115" t="s">
        <v>323</v>
      </c>
      <c r="X27" s="114" t="s">
        <v>325</v>
      </c>
      <c r="Y27" s="114" t="s">
        <v>326</v>
      </c>
      <c r="Z27" s="114" t="s">
        <v>327</v>
      </c>
      <c r="AA27" s="2" t="s">
        <v>6</v>
      </c>
      <c r="AB27" s="25" t="s">
        <v>212</v>
      </c>
      <c r="AC27" s="2" t="s">
        <v>8</v>
      </c>
      <c r="AD27" s="25" t="s">
        <v>9</v>
      </c>
      <c r="AE27" s="2" t="s">
        <v>217</v>
      </c>
      <c r="AF27" s="2" t="s">
        <v>255</v>
      </c>
      <c r="AG27" s="2" t="s">
        <v>10</v>
      </c>
      <c r="AH27" s="25" t="s">
        <v>345</v>
      </c>
    </row>
    <row r="28" spans="1:34" s="4" customFormat="1" ht="30.75" customHeight="1" x14ac:dyDescent="0.25">
      <c r="A28" s="60" t="s">
        <v>50</v>
      </c>
      <c r="B28" s="61" t="s">
        <v>12</v>
      </c>
      <c r="C28" s="61" t="s">
        <v>13</v>
      </c>
      <c r="D28" s="61" t="s">
        <v>14</v>
      </c>
      <c r="E28" s="61" t="s">
        <v>15</v>
      </c>
      <c r="F28" s="61" t="s">
        <v>16</v>
      </c>
      <c r="G28" s="61" t="s">
        <v>13</v>
      </c>
      <c r="H28" s="60"/>
      <c r="I28" s="60" t="s">
        <v>252</v>
      </c>
      <c r="J28" s="65">
        <v>0</v>
      </c>
      <c r="K28" s="65">
        <v>0</v>
      </c>
      <c r="L28" s="65">
        <f t="shared" si="0"/>
        <v>0</v>
      </c>
      <c r="M28" s="65">
        <v>0</v>
      </c>
      <c r="N28" s="65">
        <f t="shared" si="1"/>
        <v>0</v>
      </c>
      <c r="O28" s="69">
        <v>1271136</v>
      </c>
      <c r="P28" s="69">
        <v>0</v>
      </c>
      <c r="Q28" s="69">
        <f>-55652.49-10362.9-3039.5-3920-650-3000-980-683677.32-435-7000-6000-1345-2000</f>
        <v>-778062.21</v>
      </c>
      <c r="R28" s="69">
        <f t="shared" si="2"/>
        <v>493073.79000000004</v>
      </c>
      <c r="S28" s="69">
        <f t="shared" si="13"/>
        <v>493073.79000000004</v>
      </c>
      <c r="T28" s="69">
        <v>0</v>
      </c>
      <c r="U28" s="116">
        <v>0</v>
      </c>
      <c r="V28" s="116">
        <v>0</v>
      </c>
      <c r="W28" s="116">
        <f>-91.96-1300-195</f>
        <v>-1586.96</v>
      </c>
      <c r="X28" s="116">
        <f t="shared" si="14"/>
        <v>491486.83</v>
      </c>
      <c r="Y28" s="116" t="s">
        <v>66</v>
      </c>
      <c r="Z28" s="116">
        <v>0</v>
      </c>
      <c r="AA28" s="62">
        <f t="shared" si="5"/>
        <v>1271136</v>
      </c>
      <c r="AB28" s="62">
        <f t="shared" si="6"/>
        <v>0</v>
      </c>
      <c r="AC28" s="62">
        <f t="shared" si="7"/>
        <v>-779649.16999999993</v>
      </c>
      <c r="AD28" s="62">
        <f t="shared" si="8"/>
        <v>491486.83</v>
      </c>
      <c r="AE28" s="59">
        <f t="shared" si="9"/>
        <v>1271136</v>
      </c>
      <c r="AF28" s="97" t="s">
        <v>302</v>
      </c>
      <c r="AG28" s="60" t="s">
        <v>226</v>
      </c>
      <c r="AH28" s="60" t="s">
        <v>39</v>
      </c>
    </row>
    <row r="29" spans="1:34" s="4" customFormat="1" ht="30.75" customHeight="1" x14ac:dyDescent="0.25">
      <c r="A29" s="51" t="s">
        <v>51</v>
      </c>
      <c r="B29" s="52" t="s">
        <v>12</v>
      </c>
      <c r="C29" s="52" t="s">
        <v>13</v>
      </c>
      <c r="D29" s="52" t="s">
        <v>14</v>
      </c>
      <c r="E29" s="52" t="s">
        <v>52</v>
      </c>
      <c r="F29" s="52" t="s">
        <v>71</v>
      </c>
      <c r="G29" s="52" t="s">
        <v>39</v>
      </c>
      <c r="H29" s="52" t="s">
        <v>69</v>
      </c>
      <c r="I29" s="51" t="s">
        <v>252</v>
      </c>
      <c r="J29" s="65">
        <v>0</v>
      </c>
      <c r="K29" s="65">
        <v>0</v>
      </c>
      <c r="L29" s="65">
        <f t="shared" si="0"/>
        <v>0</v>
      </c>
      <c r="M29" s="65">
        <v>0</v>
      </c>
      <c r="N29" s="65">
        <f t="shared" si="1"/>
        <v>0</v>
      </c>
      <c r="O29" s="69">
        <v>116450</v>
      </c>
      <c r="P29" s="69">
        <v>0</v>
      </c>
      <c r="Q29" s="69">
        <f>-12707.28-11245.5-5817.25-1045-3147.5-8282.5</f>
        <v>-42245.03</v>
      </c>
      <c r="R29" s="69">
        <f t="shared" si="2"/>
        <v>74204.97</v>
      </c>
      <c r="S29" s="69">
        <f t="shared" si="13"/>
        <v>74204.97</v>
      </c>
      <c r="T29" s="69">
        <v>0</v>
      </c>
      <c r="U29" s="116">
        <v>0</v>
      </c>
      <c r="V29" s="116">
        <v>0</v>
      </c>
      <c r="W29" s="116">
        <f>-2450-2917.5-3050-3775</f>
        <v>-12192.5</v>
      </c>
      <c r="X29" s="116">
        <f t="shared" si="14"/>
        <v>62012.47</v>
      </c>
      <c r="Y29" s="116" t="s">
        <v>66</v>
      </c>
      <c r="Z29" s="116">
        <v>0</v>
      </c>
      <c r="AA29" s="53">
        <f t="shared" si="5"/>
        <v>116450</v>
      </c>
      <c r="AB29" s="53">
        <f t="shared" si="6"/>
        <v>0</v>
      </c>
      <c r="AC29" s="53">
        <f t="shared" si="7"/>
        <v>-54437.53</v>
      </c>
      <c r="AD29" s="53">
        <f t="shared" si="8"/>
        <v>62012.47</v>
      </c>
      <c r="AE29" s="50">
        <f t="shared" si="9"/>
        <v>116450</v>
      </c>
      <c r="AF29" s="81" t="s">
        <v>288</v>
      </c>
      <c r="AG29" s="51" t="s">
        <v>349</v>
      </c>
      <c r="AH29" s="51" t="s">
        <v>39</v>
      </c>
    </row>
    <row r="30" spans="1:34" s="4" customFormat="1" ht="32.25" customHeight="1" x14ac:dyDescent="0.25">
      <c r="A30" s="23" t="s">
        <v>216</v>
      </c>
      <c r="B30" s="22" t="s">
        <v>12</v>
      </c>
      <c r="C30" s="22" t="s">
        <v>13</v>
      </c>
      <c r="D30" s="22" t="s">
        <v>14</v>
      </c>
      <c r="E30" s="22" t="s">
        <v>53</v>
      </c>
      <c r="F30" s="22" t="s">
        <v>77</v>
      </c>
      <c r="G30" s="22" t="s">
        <v>39</v>
      </c>
      <c r="H30" s="22" t="s">
        <v>69</v>
      </c>
      <c r="I30" s="21" t="s">
        <v>252</v>
      </c>
      <c r="J30" s="65">
        <v>0</v>
      </c>
      <c r="K30" s="65">
        <v>0</v>
      </c>
      <c r="L30" s="65">
        <v>0</v>
      </c>
      <c r="M30" s="65">
        <v>0</v>
      </c>
      <c r="N30" s="65">
        <f t="shared" si="1"/>
        <v>0</v>
      </c>
      <c r="O30" s="69">
        <v>67200</v>
      </c>
      <c r="P30" s="69">
        <v>0</v>
      </c>
      <c r="Q30" s="69">
        <f>-595-5316.3-5699.35-553.12-5652.95-144.5-4952.45-4959.36-6421.6-299.45+144.5-5326.25</f>
        <v>-39775.83</v>
      </c>
      <c r="R30" s="69">
        <f t="shared" si="2"/>
        <v>27424.17</v>
      </c>
      <c r="S30" s="69">
        <f t="shared" si="13"/>
        <v>27424.17</v>
      </c>
      <c r="T30" s="69">
        <v>0</v>
      </c>
      <c r="U30" s="116">
        <v>0</v>
      </c>
      <c r="V30" s="116">
        <v>0</v>
      </c>
      <c r="W30" s="116">
        <f>-6014.39-4829.88-3493.8-3558.5</f>
        <v>-17896.57</v>
      </c>
      <c r="X30" s="116">
        <f t="shared" si="14"/>
        <v>9527.5999999999985</v>
      </c>
      <c r="Y30" s="116" t="s">
        <v>66</v>
      </c>
      <c r="Z30" s="116">
        <v>0</v>
      </c>
      <c r="AA30" s="20">
        <f t="shared" si="5"/>
        <v>67200</v>
      </c>
      <c r="AB30" s="20">
        <f t="shared" si="6"/>
        <v>0</v>
      </c>
      <c r="AC30" s="20">
        <f t="shared" si="7"/>
        <v>-57672.4</v>
      </c>
      <c r="AD30" s="20">
        <f t="shared" si="8"/>
        <v>9527.5999999999985</v>
      </c>
      <c r="AE30" s="24">
        <f t="shared" si="9"/>
        <v>67200</v>
      </c>
      <c r="AF30" s="24" t="s">
        <v>289</v>
      </c>
      <c r="AG30" s="21" t="s">
        <v>356</v>
      </c>
      <c r="AH30" s="21" t="s">
        <v>39</v>
      </c>
    </row>
    <row r="31" spans="1:34" s="4" customFormat="1" ht="32.25" customHeight="1" x14ac:dyDescent="0.25">
      <c r="A31" s="23" t="s">
        <v>295</v>
      </c>
      <c r="B31" s="22" t="s">
        <v>12</v>
      </c>
      <c r="C31" s="22" t="s">
        <v>13</v>
      </c>
      <c r="D31" s="22" t="s">
        <v>14</v>
      </c>
      <c r="E31" s="22" t="s">
        <v>53</v>
      </c>
      <c r="F31" s="22" t="s">
        <v>46</v>
      </c>
      <c r="G31" s="22" t="s">
        <v>39</v>
      </c>
      <c r="H31" s="22" t="s">
        <v>69</v>
      </c>
      <c r="I31" s="21" t="s">
        <v>252</v>
      </c>
      <c r="J31" s="65">
        <v>0</v>
      </c>
      <c r="K31" s="65">
        <v>0</v>
      </c>
      <c r="L31" s="65">
        <v>0</v>
      </c>
      <c r="M31" s="65">
        <v>0</v>
      </c>
      <c r="N31" s="65">
        <f t="shared" si="1"/>
        <v>0</v>
      </c>
      <c r="O31" s="69">
        <v>688700</v>
      </c>
      <c r="P31" s="69">
        <v>0</v>
      </c>
      <c r="Q31" s="69">
        <f>-4977.33-240835.75-261228.48-170-11080-1056.81-578-144.5-680-5695.09</f>
        <v>-526445.96</v>
      </c>
      <c r="R31" s="69">
        <f t="shared" si="2"/>
        <v>162254.04000000004</v>
      </c>
      <c r="S31" s="69">
        <f t="shared" si="13"/>
        <v>162254.04000000004</v>
      </c>
      <c r="T31" s="69">
        <v>0</v>
      </c>
      <c r="U31" s="116">
        <v>0</v>
      </c>
      <c r="V31" s="116">
        <v>0</v>
      </c>
      <c r="W31" s="116">
        <f>-510-12411.96</f>
        <v>-12921.96</v>
      </c>
      <c r="X31" s="116">
        <f t="shared" si="14"/>
        <v>149332.08000000005</v>
      </c>
      <c r="Y31" s="116" t="s">
        <v>66</v>
      </c>
      <c r="Z31" s="116">
        <v>0</v>
      </c>
      <c r="AA31" s="20">
        <f t="shared" si="5"/>
        <v>688700</v>
      </c>
      <c r="AB31" s="20">
        <f t="shared" si="6"/>
        <v>0</v>
      </c>
      <c r="AC31" s="20">
        <f t="shared" si="7"/>
        <v>-539367.91999999993</v>
      </c>
      <c r="AD31" s="20">
        <f t="shared" si="8"/>
        <v>149332.08000000005</v>
      </c>
      <c r="AE31" s="24">
        <f t="shared" si="9"/>
        <v>688700</v>
      </c>
      <c r="AF31" s="24" t="s">
        <v>289</v>
      </c>
      <c r="AG31" s="21" t="s">
        <v>357</v>
      </c>
      <c r="AH31" s="21" t="s">
        <v>39</v>
      </c>
    </row>
    <row r="32" spans="1:34" s="4" customFormat="1" ht="32.25" customHeight="1" x14ac:dyDescent="0.25">
      <c r="A32" s="23" t="s">
        <v>115</v>
      </c>
      <c r="B32" s="22" t="s">
        <v>23</v>
      </c>
      <c r="C32" s="22" t="s">
        <v>13</v>
      </c>
      <c r="D32" s="22" t="s">
        <v>39</v>
      </c>
      <c r="E32" s="22" t="s">
        <v>53</v>
      </c>
      <c r="F32" s="22" t="s">
        <v>46</v>
      </c>
      <c r="G32" s="22" t="s">
        <v>39</v>
      </c>
      <c r="H32" s="22" t="s">
        <v>69</v>
      </c>
      <c r="I32" s="21" t="s">
        <v>252</v>
      </c>
      <c r="J32" s="65">
        <v>0</v>
      </c>
      <c r="K32" s="65">
        <v>0</v>
      </c>
      <c r="L32" s="65">
        <v>0</v>
      </c>
      <c r="M32" s="65">
        <v>0</v>
      </c>
      <c r="N32" s="65">
        <f t="shared" si="1"/>
        <v>0</v>
      </c>
      <c r="O32" s="69">
        <v>83000</v>
      </c>
      <c r="P32" s="69">
        <v>0</v>
      </c>
      <c r="Q32" s="69">
        <f>-2497.11-2280.24-2674-2674-2674-3500-2674</f>
        <v>-18973.349999999999</v>
      </c>
      <c r="R32" s="69">
        <f t="shared" si="2"/>
        <v>64026.65</v>
      </c>
      <c r="S32" s="69">
        <f t="shared" si="13"/>
        <v>64026.65</v>
      </c>
      <c r="T32" s="69">
        <v>0</v>
      </c>
      <c r="U32" s="116">
        <v>0</v>
      </c>
      <c r="V32" s="116">
        <v>0</v>
      </c>
      <c r="W32" s="116">
        <f>-2674-7799.35-7904.73-5205.78-5692.98</f>
        <v>-29276.84</v>
      </c>
      <c r="X32" s="116">
        <f t="shared" si="14"/>
        <v>34749.81</v>
      </c>
      <c r="Y32" s="116" t="s">
        <v>66</v>
      </c>
      <c r="Z32" s="116">
        <v>0</v>
      </c>
      <c r="AA32" s="20">
        <f t="shared" si="5"/>
        <v>83000</v>
      </c>
      <c r="AB32" s="20">
        <f t="shared" si="6"/>
        <v>0</v>
      </c>
      <c r="AC32" s="20">
        <f t="shared" si="7"/>
        <v>-48250.19</v>
      </c>
      <c r="AD32" s="20">
        <f t="shared" si="8"/>
        <v>34749.81</v>
      </c>
      <c r="AE32" s="24">
        <f t="shared" si="9"/>
        <v>83000</v>
      </c>
      <c r="AF32" s="24" t="s">
        <v>289</v>
      </c>
      <c r="AG32" s="21" t="s">
        <v>350</v>
      </c>
      <c r="AH32" s="21" t="s">
        <v>39</v>
      </c>
    </row>
    <row r="33" spans="1:34" s="4" customFormat="1" ht="32.25" customHeight="1" x14ac:dyDescent="0.25">
      <c r="A33" s="23" t="s">
        <v>116</v>
      </c>
      <c r="B33" s="22" t="s">
        <v>23</v>
      </c>
      <c r="C33" s="22" t="s">
        <v>13</v>
      </c>
      <c r="D33" s="22" t="s">
        <v>39</v>
      </c>
      <c r="E33" s="22" t="s">
        <v>53</v>
      </c>
      <c r="F33" s="22" t="s">
        <v>46</v>
      </c>
      <c r="G33" s="22" t="s">
        <v>39</v>
      </c>
      <c r="H33" s="22" t="s">
        <v>69</v>
      </c>
      <c r="I33" s="79" t="s">
        <v>245</v>
      </c>
      <c r="J33" s="65">
        <v>0</v>
      </c>
      <c r="K33" s="65">
        <v>0</v>
      </c>
      <c r="L33" s="65">
        <v>0</v>
      </c>
      <c r="M33" s="65">
        <v>0</v>
      </c>
      <c r="N33" s="65">
        <f t="shared" si="1"/>
        <v>0</v>
      </c>
      <c r="O33" s="69">
        <v>75000</v>
      </c>
      <c r="P33" s="69">
        <v>0</v>
      </c>
      <c r="Q33" s="69">
        <v>0</v>
      </c>
      <c r="R33" s="69">
        <f t="shared" si="2"/>
        <v>75000</v>
      </c>
      <c r="S33" s="69">
        <f t="shared" si="13"/>
        <v>75000</v>
      </c>
      <c r="T33" s="69">
        <v>0</v>
      </c>
      <c r="U33" s="116">
        <v>0</v>
      </c>
      <c r="V33" s="116">
        <v>0</v>
      </c>
      <c r="W33" s="116">
        <v>0</v>
      </c>
      <c r="X33" s="116">
        <f t="shared" si="14"/>
        <v>75000</v>
      </c>
      <c r="Y33" s="116" t="s">
        <v>66</v>
      </c>
      <c r="Z33" s="116">
        <v>0</v>
      </c>
      <c r="AA33" s="20">
        <f t="shared" si="5"/>
        <v>75000</v>
      </c>
      <c r="AB33" s="20">
        <f t="shared" si="6"/>
        <v>0</v>
      </c>
      <c r="AC33" s="20">
        <f t="shared" si="7"/>
        <v>0</v>
      </c>
      <c r="AD33" s="20">
        <f t="shared" si="8"/>
        <v>75000</v>
      </c>
      <c r="AE33" s="24">
        <f t="shared" si="9"/>
        <v>75000</v>
      </c>
      <c r="AF33" s="24" t="s">
        <v>289</v>
      </c>
      <c r="AG33" s="21" t="s">
        <v>359</v>
      </c>
      <c r="AH33" s="121" t="s">
        <v>13</v>
      </c>
    </row>
    <row r="34" spans="1:34" s="4" customFormat="1" ht="47.25" customHeight="1" x14ac:dyDescent="0.25">
      <c r="A34" s="51" t="s">
        <v>334</v>
      </c>
      <c r="B34" s="52" t="s">
        <v>23</v>
      </c>
      <c r="C34" s="52" t="s">
        <v>13</v>
      </c>
      <c r="D34" s="52" t="s">
        <v>39</v>
      </c>
      <c r="E34" s="52" t="s">
        <v>66</v>
      </c>
      <c r="F34" s="51" t="s">
        <v>42</v>
      </c>
      <c r="G34" s="52" t="s">
        <v>13</v>
      </c>
      <c r="H34" s="51"/>
      <c r="I34" s="51" t="s">
        <v>249</v>
      </c>
      <c r="J34" s="65">
        <v>0</v>
      </c>
      <c r="K34" s="65">
        <v>0</v>
      </c>
      <c r="L34" s="65">
        <v>0</v>
      </c>
      <c r="M34" s="65">
        <v>0</v>
      </c>
      <c r="N34" s="65">
        <f t="shared" si="1"/>
        <v>0</v>
      </c>
      <c r="O34" s="69">
        <v>1200000</v>
      </c>
      <c r="P34" s="69">
        <v>0</v>
      </c>
      <c r="Q34" s="69">
        <v>0</v>
      </c>
      <c r="R34" s="69">
        <f t="shared" si="2"/>
        <v>1200000</v>
      </c>
      <c r="S34" s="69">
        <f t="shared" si="13"/>
        <v>1200000</v>
      </c>
      <c r="T34" s="69">
        <v>0</v>
      </c>
      <c r="U34" s="116">
        <v>0</v>
      </c>
      <c r="V34" s="116">
        <v>0</v>
      </c>
      <c r="W34" s="116">
        <v>-1200000</v>
      </c>
      <c r="X34" s="116">
        <f t="shared" si="14"/>
        <v>0</v>
      </c>
      <c r="Y34" s="116" t="s">
        <v>66</v>
      </c>
      <c r="Z34" s="116">
        <v>0</v>
      </c>
      <c r="AA34" s="53">
        <f t="shared" si="5"/>
        <v>1200000</v>
      </c>
      <c r="AB34" s="53">
        <f t="shared" si="6"/>
        <v>0</v>
      </c>
      <c r="AC34" s="53">
        <f t="shared" si="7"/>
        <v>-1200000</v>
      </c>
      <c r="AD34" s="53">
        <f t="shared" si="8"/>
        <v>0</v>
      </c>
      <c r="AE34" s="50">
        <f>AD34-AC34</f>
        <v>1200000</v>
      </c>
      <c r="AF34" s="50" t="s">
        <v>290</v>
      </c>
      <c r="AG34" s="123" t="s">
        <v>351</v>
      </c>
      <c r="AH34" s="51" t="s">
        <v>39</v>
      </c>
    </row>
    <row r="35" spans="1:34" s="4" customFormat="1" ht="30.75" customHeight="1" x14ac:dyDescent="0.25">
      <c r="A35" s="51" t="s">
        <v>335</v>
      </c>
      <c r="B35" s="52"/>
      <c r="C35" s="52"/>
      <c r="D35" s="52"/>
      <c r="E35" s="52"/>
      <c r="F35" s="54" t="s">
        <v>21</v>
      </c>
      <c r="G35" s="54" t="s">
        <v>39</v>
      </c>
      <c r="H35" s="54" t="s">
        <v>69</v>
      </c>
      <c r="I35" s="54" t="s">
        <v>244</v>
      </c>
      <c r="J35" s="65">
        <v>0</v>
      </c>
      <c r="K35" s="65">
        <v>0</v>
      </c>
      <c r="L35" s="65">
        <v>0</v>
      </c>
      <c r="M35" s="65">
        <v>0</v>
      </c>
      <c r="N35" s="65">
        <f>M35-L35</f>
        <v>0</v>
      </c>
      <c r="O35" s="69">
        <v>200000</v>
      </c>
      <c r="P35" s="69">
        <v>0</v>
      </c>
      <c r="Q35" s="69">
        <v>0</v>
      </c>
      <c r="R35" s="69">
        <f>SUM(M35,O35,P35,Q35)</f>
        <v>200000</v>
      </c>
      <c r="S35" s="69">
        <f>R35</f>
        <v>200000</v>
      </c>
      <c r="T35" s="69">
        <v>0</v>
      </c>
      <c r="U35" s="116">
        <v>0</v>
      </c>
      <c r="V35" s="116">
        <v>0</v>
      </c>
      <c r="W35" s="116">
        <v>-200000</v>
      </c>
      <c r="X35" s="116">
        <f>SUM(S35,U35,V35,W35)</f>
        <v>0</v>
      </c>
      <c r="Y35" s="116" t="s">
        <v>66</v>
      </c>
      <c r="Z35" s="116">
        <v>0</v>
      </c>
      <c r="AA35" s="53">
        <f>J35+O35+U35</f>
        <v>200000</v>
      </c>
      <c r="AB35" s="53">
        <f>N35+P35+T35+V35+Z35</f>
        <v>0</v>
      </c>
      <c r="AC35" s="53">
        <f>SUM(K35+Q35+W35)</f>
        <v>-200000</v>
      </c>
      <c r="AD35" s="53">
        <f>X35</f>
        <v>0</v>
      </c>
      <c r="AE35" s="50">
        <f>AD35-AC35</f>
        <v>200000</v>
      </c>
      <c r="AF35" s="81" t="s">
        <v>253</v>
      </c>
      <c r="AG35" s="123" t="s">
        <v>351</v>
      </c>
      <c r="AH35" s="51" t="s">
        <v>39</v>
      </c>
    </row>
    <row r="36" spans="1:34" s="4" customFormat="1" ht="30.75" customHeight="1" x14ac:dyDescent="0.25">
      <c r="A36" s="21" t="s">
        <v>238</v>
      </c>
      <c r="B36" s="22" t="s">
        <v>66</v>
      </c>
      <c r="C36" s="22"/>
      <c r="D36" s="22"/>
      <c r="E36" s="22"/>
      <c r="F36" s="21" t="s">
        <v>46</v>
      </c>
      <c r="G36" s="77"/>
      <c r="H36" s="76"/>
      <c r="I36" s="21" t="s">
        <v>66</v>
      </c>
      <c r="J36" s="65">
        <v>0</v>
      </c>
      <c r="K36" s="65">
        <v>0</v>
      </c>
      <c r="L36" s="65">
        <v>0</v>
      </c>
      <c r="M36" s="65">
        <v>0</v>
      </c>
      <c r="N36" s="65">
        <f t="shared" ref="N36:N40" si="15">M36-L36</f>
        <v>0</v>
      </c>
      <c r="O36" s="69">
        <v>40000</v>
      </c>
      <c r="P36" s="69">
        <v>0</v>
      </c>
      <c r="Q36" s="69">
        <v>0</v>
      </c>
      <c r="R36" s="69">
        <f>SUM(M36,O36,P36,Q36)</f>
        <v>40000</v>
      </c>
      <c r="S36" s="69">
        <f t="shared" si="13"/>
        <v>40000</v>
      </c>
      <c r="T36" s="69">
        <v>0</v>
      </c>
      <c r="U36" s="116">
        <v>0</v>
      </c>
      <c r="V36" s="116">
        <v>0</v>
      </c>
      <c r="W36" s="116">
        <v>-697.9</v>
      </c>
      <c r="X36" s="116">
        <f>SUM(S36,U36,V36,W36)</f>
        <v>39302.1</v>
      </c>
      <c r="Y36" s="116" t="s">
        <v>66</v>
      </c>
      <c r="Z36" s="116">
        <v>0</v>
      </c>
      <c r="AA36" s="20">
        <f t="shared" si="5"/>
        <v>40000</v>
      </c>
      <c r="AB36" s="20">
        <f t="shared" si="6"/>
        <v>0</v>
      </c>
      <c r="AC36" s="20">
        <f t="shared" si="7"/>
        <v>-697.9</v>
      </c>
      <c r="AD36" s="20">
        <f t="shared" si="8"/>
        <v>39302.1</v>
      </c>
      <c r="AE36" s="24">
        <f t="shared" ref="AE36:AE42" si="16">AD36-AC36</f>
        <v>40000</v>
      </c>
      <c r="AF36" s="94" t="s">
        <v>303</v>
      </c>
      <c r="AG36" s="21" t="s">
        <v>366</v>
      </c>
      <c r="AH36" s="121" t="s">
        <v>13</v>
      </c>
    </row>
    <row r="37" spans="1:34" s="4" customFormat="1" ht="30.75" customHeight="1" x14ac:dyDescent="0.25">
      <c r="A37" s="21" t="s">
        <v>239</v>
      </c>
      <c r="B37" s="22"/>
      <c r="C37" s="22"/>
      <c r="D37" s="22"/>
      <c r="E37" s="22"/>
      <c r="F37" s="21" t="s">
        <v>46</v>
      </c>
      <c r="G37" s="77"/>
      <c r="H37" s="76"/>
      <c r="I37" s="21" t="s">
        <v>245</v>
      </c>
      <c r="J37" s="65">
        <v>0</v>
      </c>
      <c r="K37" s="65">
        <v>0</v>
      </c>
      <c r="L37" s="65">
        <v>0</v>
      </c>
      <c r="M37" s="65">
        <v>0</v>
      </c>
      <c r="N37" s="65">
        <f t="shared" si="15"/>
        <v>0</v>
      </c>
      <c r="O37" s="69">
        <v>48000</v>
      </c>
      <c r="P37" s="69">
        <v>0</v>
      </c>
      <c r="Q37" s="69">
        <v>-48000</v>
      </c>
      <c r="R37" s="69">
        <f t="shared" si="2"/>
        <v>0</v>
      </c>
      <c r="S37" s="69">
        <f t="shared" si="13"/>
        <v>0</v>
      </c>
      <c r="T37" s="69">
        <v>0</v>
      </c>
      <c r="U37" s="116">
        <v>0</v>
      </c>
      <c r="V37" s="116">
        <v>0</v>
      </c>
      <c r="W37" s="116">
        <v>0</v>
      </c>
      <c r="X37" s="116">
        <f t="shared" ref="X37:X46" si="17">SUM(S37,U37,V37,W37)</f>
        <v>0</v>
      </c>
      <c r="Y37" s="116" t="s">
        <v>66</v>
      </c>
      <c r="Z37" s="116">
        <v>0</v>
      </c>
      <c r="AA37" s="20">
        <f t="shared" si="5"/>
        <v>48000</v>
      </c>
      <c r="AB37" s="20">
        <f t="shared" si="6"/>
        <v>0</v>
      </c>
      <c r="AC37" s="20">
        <f t="shared" si="7"/>
        <v>-48000</v>
      </c>
      <c r="AD37" s="20">
        <f t="shared" si="8"/>
        <v>0</v>
      </c>
      <c r="AE37" s="24">
        <f t="shared" si="16"/>
        <v>48000</v>
      </c>
      <c r="AF37" s="94" t="s">
        <v>291</v>
      </c>
      <c r="AG37" s="21" t="s">
        <v>352</v>
      </c>
      <c r="AH37" s="21" t="s">
        <v>39</v>
      </c>
    </row>
    <row r="38" spans="1:34" s="4" customFormat="1" ht="52.5" customHeight="1" x14ac:dyDescent="0.25">
      <c r="A38" s="21" t="s">
        <v>240</v>
      </c>
      <c r="B38" s="22"/>
      <c r="C38" s="22"/>
      <c r="D38" s="22"/>
      <c r="E38" s="22"/>
      <c r="F38" s="21" t="s">
        <v>46</v>
      </c>
      <c r="G38" s="77"/>
      <c r="H38" s="76"/>
      <c r="I38" s="21" t="s">
        <v>245</v>
      </c>
      <c r="J38" s="65">
        <v>0</v>
      </c>
      <c r="K38" s="65">
        <v>0</v>
      </c>
      <c r="L38" s="65">
        <v>0</v>
      </c>
      <c r="M38" s="65">
        <v>0</v>
      </c>
      <c r="N38" s="65">
        <f t="shared" si="15"/>
        <v>0</v>
      </c>
      <c r="O38" s="69">
        <v>65000</v>
      </c>
      <c r="P38" s="69">
        <v>0</v>
      </c>
      <c r="Q38" s="69">
        <v>-65000</v>
      </c>
      <c r="R38" s="69">
        <f t="shared" si="2"/>
        <v>0</v>
      </c>
      <c r="S38" s="69">
        <f t="shared" si="13"/>
        <v>0</v>
      </c>
      <c r="T38" s="69">
        <v>0</v>
      </c>
      <c r="U38" s="116">
        <v>0</v>
      </c>
      <c r="V38" s="116">
        <v>0</v>
      </c>
      <c r="W38" s="116">
        <v>0</v>
      </c>
      <c r="X38" s="116">
        <f t="shared" si="17"/>
        <v>0</v>
      </c>
      <c r="Y38" s="116" t="s">
        <v>66</v>
      </c>
      <c r="Z38" s="116">
        <v>0</v>
      </c>
      <c r="AA38" s="20">
        <f t="shared" si="5"/>
        <v>65000</v>
      </c>
      <c r="AB38" s="20">
        <f t="shared" si="6"/>
        <v>0</v>
      </c>
      <c r="AC38" s="20">
        <f t="shared" si="7"/>
        <v>-65000</v>
      </c>
      <c r="AD38" s="20">
        <f t="shared" si="8"/>
        <v>0</v>
      </c>
      <c r="AE38" s="24">
        <f t="shared" si="16"/>
        <v>65000</v>
      </c>
      <c r="AF38" s="94" t="s">
        <v>291</v>
      </c>
      <c r="AG38" s="21" t="s">
        <v>271</v>
      </c>
      <c r="AH38" s="21" t="s">
        <v>39</v>
      </c>
    </row>
    <row r="39" spans="1:34" s="4" customFormat="1" ht="30.75" customHeight="1" x14ac:dyDescent="0.25">
      <c r="A39" s="51" t="s">
        <v>241</v>
      </c>
      <c r="B39" s="52"/>
      <c r="C39" s="52"/>
      <c r="D39" s="52"/>
      <c r="E39" s="52"/>
      <c r="F39" s="51" t="s">
        <v>42</v>
      </c>
      <c r="G39" s="75"/>
      <c r="H39" s="74"/>
      <c r="I39" s="51" t="s">
        <v>249</v>
      </c>
      <c r="J39" s="65">
        <v>0</v>
      </c>
      <c r="K39" s="65">
        <v>0</v>
      </c>
      <c r="L39" s="65">
        <v>0</v>
      </c>
      <c r="M39" s="65">
        <v>0</v>
      </c>
      <c r="N39" s="65">
        <f t="shared" si="15"/>
        <v>0</v>
      </c>
      <c r="O39" s="69">
        <v>100000</v>
      </c>
      <c r="P39" s="69">
        <v>0</v>
      </c>
      <c r="Q39" s="69">
        <v>-100000</v>
      </c>
      <c r="R39" s="69">
        <f t="shared" si="2"/>
        <v>0</v>
      </c>
      <c r="S39" s="69">
        <f t="shared" si="13"/>
        <v>0</v>
      </c>
      <c r="T39" s="69">
        <v>0</v>
      </c>
      <c r="U39" s="116">
        <v>0</v>
      </c>
      <c r="V39" s="116">
        <v>0</v>
      </c>
      <c r="W39" s="116">
        <v>0</v>
      </c>
      <c r="X39" s="116">
        <f t="shared" si="17"/>
        <v>0</v>
      </c>
      <c r="Y39" s="116" t="s">
        <v>66</v>
      </c>
      <c r="Z39" s="116">
        <v>0</v>
      </c>
      <c r="AA39" s="53">
        <f t="shared" si="5"/>
        <v>100000</v>
      </c>
      <c r="AB39" s="53">
        <f t="shared" si="6"/>
        <v>0</v>
      </c>
      <c r="AC39" s="53">
        <f t="shared" si="7"/>
        <v>-100000</v>
      </c>
      <c r="AD39" s="53">
        <f t="shared" si="8"/>
        <v>0</v>
      </c>
      <c r="AE39" s="50">
        <f t="shared" si="16"/>
        <v>100000</v>
      </c>
      <c r="AF39" s="81" t="s">
        <v>253</v>
      </c>
      <c r="AG39" s="51" t="s">
        <v>270</v>
      </c>
      <c r="AH39" s="51" t="s">
        <v>39</v>
      </c>
    </row>
    <row r="40" spans="1:34" s="4" customFormat="1" ht="30.75" customHeight="1" x14ac:dyDescent="0.25">
      <c r="A40" s="51" t="s">
        <v>242</v>
      </c>
      <c r="B40" s="52"/>
      <c r="C40" s="52"/>
      <c r="D40" s="52"/>
      <c r="E40" s="52"/>
      <c r="F40" s="51" t="s">
        <v>333</v>
      </c>
      <c r="G40" s="75"/>
      <c r="H40" s="74"/>
      <c r="I40" s="51" t="s">
        <v>244</v>
      </c>
      <c r="J40" s="65">
        <v>0</v>
      </c>
      <c r="K40" s="65">
        <v>0</v>
      </c>
      <c r="L40" s="65">
        <v>0</v>
      </c>
      <c r="M40" s="65">
        <v>0</v>
      </c>
      <c r="N40" s="65">
        <f t="shared" si="15"/>
        <v>0</v>
      </c>
      <c r="O40" s="69">
        <v>400000</v>
      </c>
      <c r="P40" s="69">
        <v>0</v>
      </c>
      <c r="Q40" s="69">
        <v>0</v>
      </c>
      <c r="R40" s="69">
        <f t="shared" si="2"/>
        <v>400000</v>
      </c>
      <c r="S40" s="69">
        <f t="shared" si="13"/>
        <v>400000</v>
      </c>
      <c r="T40" s="69">
        <v>0</v>
      </c>
      <c r="U40" s="116">
        <v>0</v>
      </c>
      <c r="V40" s="116">
        <v>0</v>
      </c>
      <c r="W40" s="116">
        <v>-400000</v>
      </c>
      <c r="X40" s="116">
        <f t="shared" si="17"/>
        <v>0</v>
      </c>
      <c r="Y40" s="116" t="s">
        <v>66</v>
      </c>
      <c r="Z40" s="116">
        <v>0</v>
      </c>
      <c r="AA40" s="53">
        <f t="shared" si="5"/>
        <v>400000</v>
      </c>
      <c r="AB40" s="53">
        <f t="shared" si="6"/>
        <v>0</v>
      </c>
      <c r="AC40" s="53">
        <f t="shared" si="7"/>
        <v>-400000</v>
      </c>
      <c r="AD40" s="53">
        <f t="shared" si="8"/>
        <v>0</v>
      </c>
      <c r="AE40" s="50">
        <f t="shared" si="16"/>
        <v>400000</v>
      </c>
      <c r="AF40" s="81" t="s">
        <v>269</v>
      </c>
      <c r="AG40" s="123" t="s">
        <v>351</v>
      </c>
      <c r="AH40" s="51" t="s">
        <v>39</v>
      </c>
    </row>
    <row r="41" spans="1:34" s="4" customFormat="1" ht="30.75" customHeight="1" x14ac:dyDescent="0.25">
      <c r="A41" s="21" t="s">
        <v>304</v>
      </c>
      <c r="B41" s="22"/>
      <c r="C41" s="22"/>
      <c r="D41" s="22"/>
      <c r="E41" s="22"/>
      <c r="F41" s="21" t="s">
        <v>46</v>
      </c>
      <c r="G41" s="77"/>
      <c r="H41" s="76"/>
      <c r="I41" s="21" t="s">
        <v>245</v>
      </c>
      <c r="J41" s="20">
        <v>0</v>
      </c>
      <c r="K41" s="20">
        <v>0</v>
      </c>
      <c r="L41" s="20">
        <v>0</v>
      </c>
      <c r="M41" s="20">
        <v>0</v>
      </c>
      <c r="N41" s="20">
        <f t="shared" ref="N41:N46" si="18">M41-L41</f>
        <v>0</v>
      </c>
      <c r="O41" s="20">
        <v>330000</v>
      </c>
      <c r="P41" s="20">
        <v>0</v>
      </c>
      <c r="Q41" s="20">
        <v>0</v>
      </c>
      <c r="R41" s="20">
        <f t="shared" si="2"/>
        <v>330000</v>
      </c>
      <c r="S41" s="20">
        <f t="shared" si="13"/>
        <v>330000</v>
      </c>
      <c r="T41" s="20">
        <v>0</v>
      </c>
      <c r="U41" s="116">
        <v>0</v>
      </c>
      <c r="V41" s="116">
        <v>0</v>
      </c>
      <c r="W41" s="116">
        <f>-9166.67*3-9167.66-9166.67</f>
        <v>-45834.34</v>
      </c>
      <c r="X41" s="116">
        <f t="shared" si="17"/>
        <v>284165.66000000003</v>
      </c>
      <c r="Y41" s="116" t="s">
        <v>66</v>
      </c>
      <c r="Z41" s="116">
        <v>0</v>
      </c>
      <c r="AA41" s="20">
        <f t="shared" si="5"/>
        <v>330000</v>
      </c>
      <c r="AB41" s="20">
        <f t="shared" si="6"/>
        <v>0</v>
      </c>
      <c r="AC41" s="20">
        <f t="shared" si="7"/>
        <v>-45834.34</v>
      </c>
      <c r="AD41" s="20">
        <f t="shared" si="8"/>
        <v>284165.66000000003</v>
      </c>
      <c r="AE41" s="24">
        <f t="shared" si="16"/>
        <v>330000</v>
      </c>
      <c r="AF41" s="94"/>
      <c r="AG41" s="124" t="s">
        <v>353</v>
      </c>
      <c r="AH41" s="21" t="s">
        <v>39</v>
      </c>
    </row>
    <row r="42" spans="1:34" s="4" customFormat="1" ht="30.75" customHeight="1" x14ac:dyDescent="0.25">
      <c r="A42" s="21" t="s">
        <v>306</v>
      </c>
      <c r="B42" s="22"/>
      <c r="C42" s="22"/>
      <c r="D42" s="22"/>
      <c r="E42" s="22"/>
      <c r="F42" s="21" t="s">
        <v>46</v>
      </c>
      <c r="G42" s="77"/>
      <c r="H42" s="76"/>
      <c r="I42" s="21" t="s">
        <v>245</v>
      </c>
      <c r="J42" s="20">
        <v>0</v>
      </c>
      <c r="K42" s="20">
        <v>0</v>
      </c>
      <c r="L42" s="20">
        <v>0</v>
      </c>
      <c r="M42" s="20">
        <v>0</v>
      </c>
      <c r="N42" s="20">
        <f t="shared" si="18"/>
        <v>0</v>
      </c>
      <c r="O42" s="20">
        <v>88000</v>
      </c>
      <c r="P42" s="20">
        <v>0</v>
      </c>
      <c r="Q42" s="20">
        <v>0</v>
      </c>
      <c r="R42" s="20">
        <f t="shared" si="2"/>
        <v>88000</v>
      </c>
      <c r="S42" s="20">
        <f t="shared" si="13"/>
        <v>88000</v>
      </c>
      <c r="T42" s="20">
        <v>0</v>
      </c>
      <c r="U42" s="116">
        <v>0</v>
      </c>
      <c r="V42" s="116">
        <v>0</v>
      </c>
      <c r="W42" s="116">
        <f>-6064.04-7360.28-7369.69-7622.71</f>
        <v>-28416.719999999998</v>
      </c>
      <c r="X42" s="116">
        <f t="shared" si="17"/>
        <v>59583.28</v>
      </c>
      <c r="Y42" s="116" t="s">
        <v>66</v>
      </c>
      <c r="Z42" s="116">
        <v>0</v>
      </c>
      <c r="AA42" s="20">
        <f t="shared" si="5"/>
        <v>88000</v>
      </c>
      <c r="AB42" s="20">
        <f t="shared" si="6"/>
        <v>0</v>
      </c>
      <c r="AC42" s="20">
        <f t="shared" si="7"/>
        <v>-28416.719999999998</v>
      </c>
      <c r="AD42" s="20">
        <f t="shared" si="8"/>
        <v>59583.28</v>
      </c>
      <c r="AE42" s="24">
        <f t="shared" si="16"/>
        <v>88000</v>
      </c>
      <c r="AF42" s="94"/>
      <c r="AG42" s="124" t="s">
        <v>354</v>
      </c>
      <c r="AH42" s="21" t="s">
        <v>39</v>
      </c>
    </row>
    <row r="43" spans="1:34" s="4" customFormat="1" ht="80.25" customHeight="1" x14ac:dyDescent="0.25">
      <c r="A43" s="21" t="s">
        <v>305</v>
      </c>
      <c r="B43" s="22"/>
      <c r="C43" s="22"/>
      <c r="D43" s="22"/>
      <c r="E43" s="22"/>
      <c r="F43" s="21" t="s">
        <v>46</v>
      </c>
      <c r="G43" s="77"/>
      <c r="H43" s="76"/>
      <c r="I43" s="21" t="s">
        <v>245</v>
      </c>
      <c r="J43" s="65">
        <v>0</v>
      </c>
      <c r="K43" s="65">
        <v>0</v>
      </c>
      <c r="L43" s="65">
        <v>0</v>
      </c>
      <c r="M43" s="65">
        <v>0</v>
      </c>
      <c r="N43" s="65">
        <f t="shared" si="18"/>
        <v>0</v>
      </c>
      <c r="O43" s="69">
        <v>700000</v>
      </c>
      <c r="P43" s="69">
        <v>0</v>
      </c>
      <c r="Q43" s="69">
        <v>0</v>
      </c>
      <c r="R43" s="69">
        <f t="shared" ref="R43:R46" si="19">SUM(M43,O43,P43,Q43)</f>
        <v>700000</v>
      </c>
      <c r="S43" s="69">
        <f t="shared" si="13"/>
        <v>700000</v>
      </c>
      <c r="T43" s="69">
        <v>0</v>
      </c>
      <c r="U43" s="116">
        <v>0</v>
      </c>
      <c r="V43" s="116">
        <v>0</v>
      </c>
      <c r="W43" s="116">
        <v>0</v>
      </c>
      <c r="X43" s="116">
        <f t="shared" si="17"/>
        <v>700000</v>
      </c>
      <c r="Y43" s="116" t="s">
        <v>66</v>
      </c>
      <c r="Z43" s="116">
        <v>0</v>
      </c>
      <c r="AA43" s="20">
        <f t="shared" si="5"/>
        <v>700000</v>
      </c>
      <c r="AB43" s="20">
        <f t="shared" si="6"/>
        <v>0</v>
      </c>
      <c r="AC43" s="20">
        <f t="shared" si="7"/>
        <v>0</v>
      </c>
      <c r="AD43" s="20">
        <f t="shared" si="8"/>
        <v>700000</v>
      </c>
      <c r="AE43" s="24">
        <f t="shared" ref="AE43:AE45" si="20">AD43-AC43</f>
        <v>700000</v>
      </c>
      <c r="AF43" s="94" t="s">
        <v>292</v>
      </c>
      <c r="AG43" s="21" t="s">
        <v>358</v>
      </c>
      <c r="AH43" s="121" t="s">
        <v>13</v>
      </c>
    </row>
    <row r="44" spans="1:34" s="4" customFormat="1" ht="44.25" customHeight="1" x14ac:dyDescent="0.25">
      <c r="A44" s="60" t="s">
        <v>307</v>
      </c>
      <c r="B44" s="61"/>
      <c r="C44" s="61"/>
      <c r="D44" s="61"/>
      <c r="E44" s="61"/>
      <c r="F44" s="60" t="s">
        <v>332</v>
      </c>
      <c r="G44" s="61"/>
      <c r="H44" s="60"/>
      <c r="I44" s="60" t="s">
        <v>244</v>
      </c>
      <c r="J44" s="65">
        <v>0</v>
      </c>
      <c r="K44" s="65">
        <v>0</v>
      </c>
      <c r="L44" s="65">
        <v>0</v>
      </c>
      <c r="M44" s="65">
        <v>0</v>
      </c>
      <c r="N44" s="65">
        <f t="shared" si="18"/>
        <v>0</v>
      </c>
      <c r="O44" s="69">
        <v>135000</v>
      </c>
      <c r="P44" s="69">
        <v>0</v>
      </c>
      <c r="Q44" s="69">
        <v>0</v>
      </c>
      <c r="R44" s="69">
        <f t="shared" si="19"/>
        <v>135000</v>
      </c>
      <c r="S44" s="69">
        <f t="shared" si="13"/>
        <v>135000</v>
      </c>
      <c r="T44" s="69">
        <v>0</v>
      </c>
      <c r="U44" s="116">
        <v>0</v>
      </c>
      <c r="V44" s="116">
        <v>0</v>
      </c>
      <c r="W44" s="116">
        <v>0</v>
      </c>
      <c r="X44" s="116">
        <f t="shared" si="17"/>
        <v>135000</v>
      </c>
      <c r="Y44" s="116" t="s">
        <v>66</v>
      </c>
      <c r="Z44" s="116">
        <v>0</v>
      </c>
      <c r="AA44" s="62">
        <f t="shared" si="5"/>
        <v>135000</v>
      </c>
      <c r="AB44" s="62">
        <f t="shared" si="6"/>
        <v>0</v>
      </c>
      <c r="AC44" s="62">
        <f t="shared" si="7"/>
        <v>0</v>
      </c>
      <c r="AD44" s="62">
        <f t="shared" si="8"/>
        <v>135000</v>
      </c>
      <c r="AE44" s="59">
        <f t="shared" si="20"/>
        <v>135000</v>
      </c>
      <c r="AF44" s="97"/>
      <c r="AG44" s="126" t="s">
        <v>362</v>
      </c>
      <c r="AH44" s="121" t="s">
        <v>13</v>
      </c>
    </row>
    <row r="45" spans="1:34" s="4" customFormat="1" ht="30.75" customHeight="1" x14ac:dyDescent="0.25">
      <c r="A45" s="21" t="s">
        <v>308</v>
      </c>
      <c r="B45" s="22"/>
      <c r="C45" s="22"/>
      <c r="D45" s="22"/>
      <c r="E45" s="22"/>
      <c r="F45" s="21" t="s">
        <v>46</v>
      </c>
      <c r="G45" s="77"/>
      <c r="H45" s="76"/>
      <c r="I45" s="21" t="s">
        <v>245</v>
      </c>
      <c r="J45" s="65">
        <v>0</v>
      </c>
      <c r="K45" s="65">
        <v>0</v>
      </c>
      <c r="L45" s="65">
        <v>0</v>
      </c>
      <c r="M45" s="65">
        <v>0</v>
      </c>
      <c r="N45" s="65">
        <f t="shared" si="18"/>
        <v>0</v>
      </c>
      <c r="O45" s="69">
        <v>3750000</v>
      </c>
      <c r="P45" s="69">
        <v>0</v>
      </c>
      <c r="Q45" s="69">
        <v>0</v>
      </c>
      <c r="R45" s="69">
        <f t="shared" si="19"/>
        <v>3750000</v>
      </c>
      <c r="S45" s="69">
        <f t="shared" si="13"/>
        <v>3750000</v>
      </c>
      <c r="T45" s="69">
        <v>0</v>
      </c>
      <c r="U45" s="116">
        <v>0</v>
      </c>
      <c r="V45" s="116">
        <v>0</v>
      </c>
      <c r="W45" s="116">
        <f>-5670.05-7348-2580-65440.8</f>
        <v>-81038.850000000006</v>
      </c>
      <c r="X45" s="116">
        <f t="shared" si="17"/>
        <v>3668961.15</v>
      </c>
      <c r="Y45" s="116" t="s">
        <v>66</v>
      </c>
      <c r="Z45" s="116">
        <v>0</v>
      </c>
      <c r="AA45" s="20">
        <f t="shared" si="5"/>
        <v>3750000</v>
      </c>
      <c r="AB45" s="20">
        <f t="shared" si="6"/>
        <v>0</v>
      </c>
      <c r="AC45" s="20">
        <f t="shared" si="7"/>
        <v>-81038.850000000006</v>
      </c>
      <c r="AD45" s="20">
        <f t="shared" si="8"/>
        <v>3668961.15</v>
      </c>
      <c r="AE45" s="24">
        <f t="shared" si="20"/>
        <v>3750000</v>
      </c>
      <c r="AF45" s="94"/>
      <c r="AG45" s="21" t="s">
        <v>363</v>
      </c>
      <c r="AH45" s="121" t="s">
        <v>13</v>
      </c>
    </row>
    <row r="46" spans="1:34" s="4" customFormat="1" ht="30.75" customHeight="1" x14ac:dyDescent="0.25">
      <c r="A46" s="60" t="s">
        <v>309</v>
      </c>
      <c r="B46" s="61"/>
      <c r="C46" s="61"/>
      <c r="D46" s="61"/>
      <c r="E46" s="61"/>
      <c r="F46" s="60" t="s">
        <v>16</v>
      </c>
      <c r="G46" s="61"/>
      <c r="H46" s="60"/>
      <c r="I46" s="60" t="s">
        <v>244</v>
      </c>
      <c r="J46" s="65">
        <v>0</v>
      </c>
      <c r="K46" s="65">
        <v>0</v>
      </c>
      <c r="L46" s="65">
        <v>0</v>
      </c>
      <c r="M46" s="65">
        <v>0</v>
      </c>
      <c r="N46" s="65">
        <f t="shared" si="18"/>
        <v>0</v>
      </c>
      <c r="O46" s="69">
        <v>720000</v>
      </c>
      <c r="P46" s="69">
        <v>0</v>
      </c>
      <c r="Q46" s="69">
        <v>0</v>
      </c>
      <c r="R46" s="69">
        <f t="shared" si="19"/>
        <v>720000</v>
      </c>
      <c r="S46" s="69">
        <f t="shared" si="13"/>
        <v>720000</v>
      </c>
      <c r="T46" s="69">
        <v>0</v>
      </c>
      <c r="U46" s="116">
        <v>0</v>
      </c>
      <c r="V46" s="116">
        <v>0</v>
      </c>
      <c r="W46" s="116">
        <v>-150000</v>
      </c>
      <c r="X46" s="116">
        <f t="shared" si="17"/>
        <v>570000</v>
      </c>
      <c r="Y46" s="116" t="s">
        <v>66</v>
      </c>
      <c r="Z46" s="116">
        <v>0</v>
      </c>
      <c r="AA46" s="62">
        <f t="shared" si="5"/>
        <v>720000</v>
      </c>
      <c r="AB46" s="62">
        <f t="shared" si="6"/>
        <v>0</v>
      </c>
      <c r="AC46" s="62">
        <f t="shared" si="7"/>
        <v>-150000</v>
      </c>
      <c r="AD46" s="62">
        <f t="shared" si="8"/>
        <v>570000</v>
      </c>
      <c r="AE46" s="59">
        <f>AD46-AC46</f>
        <v>720000</v>
      </c>
      <c r="AF46" s="97"/>
      <c r="AG46" s="60" t="s">
        <v>367</v>
      </c>
      <c r="AH46" s="121" t="s">
        <v>13</v>
      </c>
    </row>
    <row r="47" spans="1:34" s="4" customFormat="1" x14ac:dyDescent="0.25">
      <c r="A47" s="152" t="s">
        <v>74</v>
      </c>
      <c r="B47" s="153"/>
      <c r="C47" s="153"/>
      <c r="D47" s="153"/>
      <c r="E47" s="153"/>
      <c r="F47" s="153"/>
      <c r="G47" s="153"/>
      <c r="H47" s="153"/>
      <c r="I47" s="154"/>
      <c r="J47" s="66">
        <f t="shared" ref="J47:O47" si="21">SUM(J5:J34)</f>
        <v>10697267</v>
      </c>
      <c r="K47" s="66">
        <f t="shared" si="21"/>
        <v>-1967112.3800000001</v>
      </c>
      <c r="L47" s="66">
        <f t="shared" si="21"/>
        <v>8730154.620000001</v>
      </c>
      <c r="M47" s="66">
        <f t="shared" si="21"/>
        <v>8694850.9699999988</v>
      </c>
      <c r="N47" s="66">
        <f t="shared" si="21"/>
        <v>-35303.65</v>
      </c>
      <c r="O47" s="70">
        <f t="shared" si="21"/>
        <v>4725163</v>
      </c>
      <c r="P47" s="70">
        <f>SUM(P5:P46)</f>
        <v>-1127745.3599999999</v>
      </c>
      <c r="Q47" s="70">
        <f>SUM(Q5:Q34)</f>
        <v>-4098973.91</v>
      </c>
      <c r="R47" s="70">
        <f>SUM(R5:R34)</f>
        <v>8193294.7000000002</v>
      </c>
      <c r="S47" s="70">
        <f>SUM(S5:S34)</f>
        <v>8193294.7000000002</v>
      </c>
      <c r="T47" s="70">
        <f>SUM(T5:T34)</f>
        <v>0</v>
      </c>
      <c r="U47" s="117">
        <f>SUM(U5:U46)</f>
        <v>0</v>
      </c>
      <c r="V47" s="117">
        <f>SUM(V5:V46)</f>
        <v>0</v>
      </c>
      <c r="W47" s="117">
        <f>SUM(W5:W46)</f>
        <v>-3575634.16</v>
      </c>
      <c r="X47" s="117">
        <f t="shared" ref="X47:Z47" si="22">SUM(X5:X46)</f>
        <v>10980660.539999999</v>
      </c>
      <c r="Y47" s="117">
        <f t="shared" si="22"/>
        <v>0</v>
      </c>
      <c r="Z47" s="117">
        <f t="shared" si="22"/>
        <v>0</v>
      </c>
      <c r="AA47" s="72">
        <f>SUM(AA5:AA46)</f>
        <v>21998430</v>
      </c>
      <c r="AB47" s="72">
        <f>SUM(AB5:AB46)</f>
        <v>-1163049.01</v>
      </c>
      <c r="AC47" s="72">
        <f>SUM(AC5:AC46)</f>
        <v>-9854720.450000003</v>
      </c>
      <c r="AD47" s="72">
        <f>SUM(AD5:AD46)</f>
        <v>10980660.539999999</v>
      </c>
      <c r="AE47" s="72">
        <f>SUM(AE5:AE46)</f>
        <v>20835380.990000002</v>
      </c>
      <c r="AF47" s="80"/>
      <c r="AG47" s="17"/>
      <c r="AH47" s="17"/>
    </row>
    <row r="48" spans="1:34" s="4" customFormat="1" ht="15.75" customHeight="1" x14ac:dyDescent="0.25">
      <c r="A48" s="5"/>
      <c r="B48" s="5"/>
      <c r="C48" s="5"/>
      <c r="D48" s="5"/>
      <c r="E48" s="5"/>
      <c r="F48" s="5"/>
      <c r="G48" s="5"/>
      <c r="H48" s="5"/>
      <c r="I48" s="5"/>
      <c r="J48" s="6"/>
      <c r="K48" s="6"/>
      <c r="L48" s="6"/>
      <c r="M48" s="6"/>
      <c r="N48" s="6"/>
      <c r="O48" s="6"/>
      <c r="P48" s="6"/>
      <c r="Q48" s="6"/>
      <c r="R48" s="6"/>
      <c r="S48" s="6"/>
      <c r="T48" s="6"/>
      <c r="U48" s="6"/>
      <c r="V48" s="6"/>
      <c r="W48" s="6"/>
      <c r="X48" s="6"/>
      <c r="Y48" s="6"/>
      <c r="Z48" s="6"/>
      <c r="AA48" s="134"/>
      <c r="AB48" s="134"/>
      <c r="AC48" s="134"/>
      <c r="AD48" s="93"/>
      <c r="AE48" s="16"/>
      <c r="AF48" s="16"/>
      <c r="AG48" s="31"/>
      <c r="AH48" s="31"/>
    </row>
    <row r="49" spans="1:34" s="4" customFormat="1" hidden="1" x14ac:dyDescent="0.25">
      <c r="A49" s="5"/>
      <c r="B49" s="5"/>
      <c r="C49" s="5"/>
      <c r="D49" s="5"/>
      <c r="E49" s="5"/>
      <c r="F49" s="5"/>
      <c r="G49" s="5"/>
      <c r="H49" s="5"/>
      <c r="I49" s="5"/>
      <c r="J49" s="6"/>
      <c r="K49" s="6"/>
      <c r="L49" s="6"/>
      <c r="M49" s="6"/>
      <c r="N49" s="6"/>
      <c r="O49" s="6"/>
      <c r="P49" s="6"/>
      <c r="Q49" s="6"/>
      <c r="R49" s="6"/>
      <c r="S49" s="6"/>
      <c r="T49" s="6"/>
      <c r="U49" s="6"/>
      <c r="V49" s="6"/>
      <c r="W49" s="6"/>
      <c r="X49" s="6"/>
      <c r="Y49" s="6"/>
      <c r="Z49" s="6"/>
      <c r="AA49" s="135" t="s">
        <v>54</v>
      </c>
      <c r="AB49" s="135"/>
      <c r="AC49" s="135"/>
      <c r="AD49" s="92">
        <f>-AD11-AD16-AD5-AD23</f>
        <v>0</v>
      </c>
      <c r="AE49" s="55"/>
      <c r="AF49" s="55"/>
      <c r="AG49" s="31">
        <f>AD3+AC47</f>
        <v>18976261.549999997</v>
      </c>
      <c r="AH49" s="31"/>
    </row>
    <row r="50" spans="1:34" s="4" customFormat="1" hidden="1" x14ac:dyDescent="0.25">
      <c r="A50" s="5"/>
      <c r="B50" s="5"/>
      <c r="C50" s="5"/>
      <c r="D50" s="5"/>
      <c r="E50" s="5"/>
      <c r="F50" s="5"/>
      <c r="G50" s="5"/>
      <c r="H50" s="5"/>
      <c r="I50" s="5"/>
      <c r="J50" s="6"/>
      <c r="K50" s="6"/>
      <c r="L50" s="6"/>
      <c r="M50" s="6"/>
      <c r="N50" s="6"/>
      <c r="O50" s="6"/>
      <c r="P50" s="6"/>
      <c r="Q50" s="6"/>
      <c r="R50" s="6"/>
      <c r="S50" s="6"/>
      <c r="T50" s="6"/>
      <c r="U50" s="6"/>
      <c r="V50" s="6"/>
      <c r="W50" s="6"/>
      <c r="X50" s="6"/>
      <c r="Y50" s="6"/>
      <c r="Z50" s="6"/>
      <c r="AA50" s="131" t="s">
        <v>67</v>
      </c>
      <c r="AB50" s="132"/>
      <c r="AC50" s="133"/>
      <c r="AD50" s="7">
        <f>AD48+AD49</f>
        <v>0</v>
      </c>
      <c r="AE50" s="16"/>
      <c r="AF50" s="16"/>
      <c r="AG50" s="31">
        <v>10396723.57</v>
      </c>
      <c r="AH50" s="31"/>
    </row>
    <row r="51" spans="1:34" s="4" customFormat="1" ht="15.75" hidden="1" customHeight="1" x14ac:dyDescent="0.25">
      <c r="A51" s="5"/>
      <c r="B51" s="5"/>
      <c r="C51" s="5"/>
      <c r="D51" s="5"/>
      <c r="E51" s="5"/>
      <c r="F51" s="5"/>
      <c r="G51" s="5"/>
      <c r="H51" s="5"/>
      <c r="I51" s="5"/>
      <c r="J51" s="6"/>
      <c r="K51" s="6"/>
      <c r="L51" s="6"/>
      <c r="M51" s="6"/>
      <c r="N51" s="6"/>
      <c r="O51" s="6"/>
      <c r="P51" s="6"/>
      <c r="Q51" s="6"/>
      <c r="R51" s="6"/>
      <c r="S51" s="6"/>
      <c r="T51" s="6"/>
      <c r="U51" s="6"/>
      <c r="V51" s="6"/>
      <c r="W51" s="6"/>
      <c r="X51" s="6"/>
      <c r="Y51" s="6"/>
      <c r="Z51" s="6"/>
      <c r="AA51" s="15"/>
      <c r="AB51" s="15" t="s">
        <v>68</v>
      </c>
      <c r="AC51" s="15"/>
      <c r="AD51" s="16"/>
      <c r="AE51" s="16"/>
      <c r="AF51" s="16"/>
      <c r="AG51" s="32"/>
      <c r="AH51" s="32"/>
    </row>
    <row r="52" spans="1:34" s="4" customFormat="1" ht="27" customHeight="1" x14ac:dyDescent="0.25">
      <c r="A52" s="5"/>
      <c r="B52" s="5"/>
      <c r="C52" s="5"/>
      <c r="D52" s="5"/>
      <c r="E52" s="5"/>
      <c r="F52" s="5"/>
      <c r="G52" s="5"/>
      <c r="H52" s="5"/>
      <c r="I52" s="5"/>
      <c r="J52" s="6"/>
      <c r="K52" s="6"/>
      <c r="L52" s="6"/>
      <c r="M52" s="6"/>
      <c r="N52" s="6"/>
      <c r="O52" s="6"/>
      <c r="P52" s="6"/>
      <c r="Q52" s="6"/>
      <c r="R52" s="6"/>
      <c r="S52" s="6"/>
      <c r="T52" s="6"/>
      <c r="U52" s="6"/>
      <c r="V52" s="6"/>
      <c r="W52" s="6"/>
      <c r="X52" s="6"/>
      <c r="Y52" s="6"/>
      <c r="Z52" s="6"/>
      <c r="AA52" s="156" t="s">
        <v>218</v>
      </c>
      <c r="AB52" s="157"/>
      <c r="AC52" s="157"/>
      <c r="AD52" s="157"/>
      <c r="AE52" s="24">
        <f>SUM(AE7,AE21:AE22,AE25,AE30:AE33,AE8,AE37:AE38,AE18,AE43, AE36,AE41,AE45, AE42)</f>
        <v>9119148</v>
      </c>
      <c r="AF52" s="7" t="s">
        <v>254</v>
      </c>
      <c r="AG52" s="32"/>
      <c r="AH52" s="32"/>
    </row>
    <row r="53" spans="1:34" s="4" customFormat="1" ht="27" customHeight="1" x14ac:dyDescent="0.25">
      <c r="A53" s="5"/>
      <c r="B53" s="5"/>
      <c r="C53" s="5"/>
      <c r="D53" s="5"/>
      <c r="E53" s="5"/>
      <c r="F53" s="5"/>
      <c r="G53" s="5"/>
      <c r="H53" s="5"/>
      <c r="I53" s="5"/>
      <c r="J53" s="6"/>
      <c r="K53" s="6"/>
      <c r="L53" s="6"/>
      <c r="M53" s="6"/>
      <c r="N53" s="6"/>
      <c r="O53" s="6"/>
      <c r="P53" s="6"/>
      <c r="Q53" s="6"/>
      <c r="R53" s="6"/>
      <c r="S53" s="6"/>
      <c r="T53" s="6"/>
      <c r="U53" s="6"/>
      <c r="V53" s="6"/>
      <c r="W53" s="6"/>
      <c r="X53" s="6"/>
      <c r="Y53" s="6"/>
      <c r="Z53" s="6"/>
      <c r="AA53" s="160" t="s">
        <v>220</v>
      </c>
      <c r="AB53" s="161"/>
      <c r="AC53" s="161"/>
      <c r="AD53" s="161"/>
      <c r="AE53" s="91">
        <v>0</v>
      </c>
      <c r="AF53" s="3" t="s">
        <v>256</v>
      </c>
      <c r="AG53" s="32"/>
      <c r="AH53" s="32"/>
    </row>
    <row r="54" spans="1:34" s="4" customFormat="1" ht="15.75" customHeight="1" x14ac:dyDescent="0.25">
      <c r="A54" s="5"/>
      <c r="B54" s="5"/>
      <c r="C54" s="5"/>
      <c r="D54" s="5"/>
      <c r="E54" s="5"/>
      <c r="F54" s="5"/>
      <c r="G54" s="5"/>
      <c r="H54" s="5"/>
      <c r="I54" s="5"/>
      <c r="J54" s="6"/>
      <c r="K54" s="6"/>
      <c r="L54" s="6"/>
      <c r="M54" s="6"/>
      <c r="N54" s="6"/>
      <c r="O54" s="6"/>
      <c r="P54" s="6"/>
      <c r="Q54" s="6"/>
      <c r="R54" s="6"/>
      <c r="S54" s="6"/>
      <c r="T54" s="6"/>
      <c r="U54" s="6"/>
      <c r="V54" s="6"/>
      <c r="W54" s="6"/>
      <c r="X54" s="6"/>
      <c r="Y54" s="6"/>
      <c r="Z54" s="6"/>
      <c r="AA54" s="162" t="s">
        <v>222</v>
      </c>
      <c r="AB54" s="163"/>
      <c r="AC54" s="163"/>
      <c r="AD54" s="163"/>
      <c r="AE54" s="59">
        <f>SUM(AE5,AE13,AE24,AE28,AE44,AE46)</f>
        <v>4673740.8599999994</v>
      </c>
      <c r="AF54" s="82" t="s">
        <v>257</v>
      </c>
      <c r="AG54" s="32"/>
      <c r="AH54" s="32"/>
    </row>
    <row r="55" spans="1:34" s="4" customFormat="1" ht="15.75" customHeight="1" x14ac:dyDescent="0.25">
      <c r="A55" s="5"/>
      <c r="B55" s="5"/>
      <c r="C55" s="5"/>
      <c r="D55" s="5"/>
      <c r="E55" s="5"/>
      <c r="F55" s="5"/>
      <c r="G55" s="5"/>
      <c r="H55" s="5"/>
      <c r="I55" s="5"/>
      <c r="J55" s="6"/>
      <c r="K55" s="6"/>
      <c r="L55" s="6"/>
      <c r="M55" s="6"/>
      <c r="N55" s="6"/>
      <c r="O55" s="6"/>
      <c r="P55" s="6"/>
      <c r="Q55" s="6"/>
      <c r="R55" s="6"/>
      <c r="S55" s="6"/>
      <c r="T55" s="6"/>
      <c r="U55" s="6"/>
      <c r="V55" s="6"/>
      <c r="W55" s="6"/>
      <c r="X55" s="6"/>
      <c r="Y55" s="6"/>
      <c r="Z55" s="6"/>
      <c r="AA55" s="158" t="s">
        <v>296</v>
      </c>
      <c r="AB55" s="158"/>
      <c r="AC55" s="158"/>
      <c r="AD55" s="158"/>
      <c r="AE55" s="50">
        <f>SUM(AE6,AE9:AE12,AE14:AE15,AE17,AE19:AE20,AE26,AE29,AE34,AE39:AE40,AE35)</f>
        <v>7042492.1299999999</v>
      </c>
      <c r="AF55" s="140" t="s">
        <v>272</v>
      </c>
      <c r="AG55" s="31">
        <f>AE55-AE44-AE46</f>
        <v>6187492.1299999999</v>
      </c>
      <c r="AH55" s="31"/>
    </row>
    <row r="56" spans="1:34" s="4" customFormat="1" x14ac:dyDescent="0.25">
      <c r="A56" s="5"/>
      <c r="B56" s="5"/>
      <c r="C56" s="5"/>
      <c r="D56" s="5"/>
      <c r="E56" s="5"/>
      <c r="F56" s="5"/>
      <c r="G56" s="5"/>
      <c r="H56" s="5"/>
      <c r="I56" s="5"/>
      <c r="J56" s="6"/>
      <c r="K56" s="6"/>
      <c r="L56" s="6"/>
      <c r="M56" s="6"/>
      <c r="N56" s="6"/>
      <c r="O56" s="6"/>
      <c r="P56" s="6"/>
      <c r="Q56" s="6"/>
      <c r="R56" s="6"/>
      <c r="S56" s="6"/>
      <c r="T56" s="6"/>
      <c r="U56" s="6"/>
      <c r="V56" s="6"/>
      <c r="W56" s="6"/>
      <c r="X56" s="6"/>
      <c r="Y56" s="6"/>
      <c r="Z56" s="6"/>
      <c r="AA56" s="159" t="s">
        <v>219</v>
      </c>
      <c r="AB56" s="159"/>
      <c r="AC56" s="159"/>
      <c r="AD56" s="159"/>
      <c r="AE56" s="7">
        <f>SUM(AE52:AE55)</f>
        <v>20835380.989999998</v>
      </c>
      <c r="AF56" s="141"/>
      <c r="AG56" s="31"/>
      <c r="AH56" s="31"/>
    </row>
    <row r="57" spans="1:34" s="4" customFormat="1" ht="6" customHeight="1" x14ac:dyDescent="0.25">
      <c r="A57" s="5"/>
      <c r="B57" s="5"/>
      <c r="C57" s="5"/>
      <c r="D57" s="5"/>
      <c r="E57" s="5"/>
      <c r="F57" s="5"/>
      <c r="G57" s="5"/>
      <c r="H57" s="5"/>
      <c r="I57" s="5"/>
      <c r="J57" s="6"/>
      <c r="K57" s="6"/>
      <c r="L57" s="6"/>
      <c r="M57" s="6"/>
      <c r="N57" s="6"/>
      <c r="O57" s="6"/>
      <c r="P57" s="6"/>
      <c r="Q57" s="6"/>
      <c r="R57" s="6"/>
      <c r="S57" s="6"/>
      <c r="T57" s="6"/>
      <c r="U57" s="6"/>
      <c r="V57" s="6"/>
      <c r="W57" s="6"/>
      <c r="X57" s="6"/>
      <c r="Y57" s="6"/>
      <c r="Z57" s="6"/>
      <c r="AA57" s="164"/>
      <c r="AB57" s="164"/>
      <c r="AC57" s="164"/>
      <c r="AD57" s="164"/>
      <c r="AE57" s="164"/>
      <c r="AF57" s="15"/>
      <c r="AG57" s="31"/>
      <c r="AH57" s="31"/>
    </row>
    <row r="58" spans="1:34" s="4" customFormat="1" ht="27" customHeight="1" x14ac:dyDescent="0.25">
      <c r="A58" s="5"/>
      <c r="B58" s="5"/>
      <c r="C58" s="5"/>
      <c r="D58" s="5"/>
      <c r="E58" s="5"/>
      <c r="F58" s="5"/>
      <c r="G58" s="5"/>
      <c r="H58" s="5"/>
      <c r="I58" s="5"/>
      <c r="J58" s="6"/>
      <c r="K58" s="6"/>
      <c r="L58" s="6"/>
      <c r="M58" s="6"/>
      <c r="N58" s="6"/>
      <c r="O58" s="6"/>
      <c r="P58" s="6"/>
      <c r="Q58" s="6"/>
      <c r="R58" s="6"/>
      <c r="S58" s="6"/>
      <c r="T58" s="6"/>
      <c r="U58" s="6"/>
      <c r="V58" s="6"/>
      <c r="W58" s="6"/>
      <c r="X58" s="6"/>
      <c r="Y58" s="6"/>
      <c r="Z58" s="6"/>
      <c r="AA58" s="155" t="s">
        <v>237</v>
      </c>
      <c r="AB58" s="155"/>
      <c r="AC58" s="155"/>
      <c r="AD58" s="155"/>
      <c r="AE58" s="18">
        <f>AD3-AE56</f>
        <v>7995601.0100000016</v>
      </c>
      <c r="AF58" s="16"/>
      <c r="AG58" s="32"/>
      <c r="AH58" s="32"/>
    </row>
    <row r="59" spans="1:34" s="4" customFormat="1" ht="32.25" customHeight="1" x14ac:dyDescent="0.25">
      <c r="A59" s="5"/>
      <c r="B59" s="5"/>
      <c r="C59" s="5"/>
      <c r="D59" s="5"/>
      <c r="E59" s="5"/>
      <c r="F59" s="32"/>
      <c r="G59" s="5"/>
      <c r="H59" s="5"/>
      <c r="I59" s="5"/>
      <c r="J59" s="6"/>
      <c r="K59" s="6"/>
      <c r="L59" s="6"/>
      <c r="M59" s="6"/>
      <c r="N59" s="6"/>
      <c r="O59" s="6"/>
      <c r="P59" s="6"/>
      <c r="Q59" s="6"/>
      <c r="R59" s="6"/>
      <c r="S59" s="6"/>
      <c r="T59" s="6"/>
      <c r="U59" s="6"/>
      <c r="V59" s="6"/>
      <c r="W59" s="6"/>
      <c r="X59" s="6"/>
      <c r="Y59" s="6"/>
      <c r="Z59" s="6"/>
      <c r="AA59" s="6"/>
      <c r="AB59" s="6"/>
      <c r="AC59" s="6"/>
      <c r="AD59" s="6"/>
      <c r="AE59" s="56"/>
      <c r="AF59" s="16"/>
      <c r="AG59" s="32"/>
      <c r="AH59" s="32"/>
    </row>
    <row r="60" spans="1:34" s="4" customFormat="1" ht="15.7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42" t="s">
        <v>338</v>
      </c>
      <c r="AD60" s="142"/>
      <c r="AE60" s="142"/>
      <c r="AF60" s="57"/>
      <c r="AG60" s="5"/>
      <c r="AH60" s="5"/>
    </row>
    <row r="61" spans="1:34" ht="16.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143" t="s">
        <v>336</v>
      </c>
      <c r="AD61" s="143"/>
      <c r="AE61" s="120">
        <f>AD3+AC47</f>
        <v>18976261.549999997</v>
      </c>
      <c r="AG61" s="58"/>
      <c r="AH61" s="58"/>
    </row>
    <row r="62" spans="1:34" x14ac:dyDescent="0.25">
      <c r="AC62" s="143" t="s">
        <v>337</v>
      </c>
      <c r="AD62" s="143"/>
      <c r="AE62" s="120">
        <f>AD47</f>
        <v>10980660.539999999</v>
      </c>
    </row>
    <row r="63" spans="1:34" x14ac:dyDescent="0.25">
      <c r="AE63" s="119"/>
    </row>
  </sheetData>
  <mergeCells count="21">
    <mergeCell ref="AC62:AD62"/>
    <mergeCell ref="A47:I47"/>
    <mergeCell ref="AA58:AD58"/>
    <mergeCell ref="AA52:AD52"/>
    <mergeCell ref="AA55:AD55"/>
    <mergeCell ref="AA56:AD56"/>
    <mergeCell ref="AA53:AD53"/>
    <mergeCell ref="AA54:AD54"/>
    <mergeCell ref="AA57:AE57"/>
    <mergeCell ref="AF55:AF56"/>
    <mergeCell ref="AC60:AE60"/>
    <mergeCell ref="AC61:AD61"/>
    <mergeCell ref="AD3:AE3"/>
    <mergeCell ref="J3:N3"/>
    <mergeCell ref="O3:T3"/>
    <mergeCell ref="A1:AG2"/>
    <mergeCell ref="AA50:AC50"/>
    <mergeCell ref="AA48:AC48"/>
    <mergeCell ref="AA49:AC49"/>
    <mergeCell ref="AA3:AC3"/>
    <mergeCell ref="U3:Z3"/>
  </mergeCells>
  <conditionalFormatting sqref="AE47 AE56">
    <cfRule type="uniqueValues" dxfId="0" priority="2"/>
  </conditionalFormatting>
  <dataValidations count="1">
    <dataValidation type="list" allowBlank="1" showInputMessage="1" showErrorMessage="1" sqref="F8 E5:E28" xr:uid="{9C9ABD1E-D23D-42FC-AFFF-0F94E614B8BB}">
      <formula1>"Lost Revenue, Public Health and Economic Response, Premium Pay, Infrastructure"</formula1>
    </dataValidation>
  </dataValidations>
  <pageMargins left="0.25" right="0.25" top="0.25" bottom="0.25" header="0.3" footer="0.3"/>
  <pageSetup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8D-349A-4E7A-A716-59D69BCA1058}">
  <sheetPr>
    <pageSetUpPr fitToPage="1"/>
  </sheetPr>
  <dimension ref="A1:I26"/>
  <sheetViews>
    <sheetView workbookViewId="0">
      <selection activeCell="B32" sqref="B32"/>
    </sheetView>
  </sheetViews>
  <sheetFormatPr defaultColWidth="9.140625" defaultRowHeight="15.75" x14ac:dyDescent="0.25"/>
  <cols>
    <col min="1" max="1" width="53.7109375" style="1" bestFit="1" customWidth="1"/>
    <col min="2" max="2" width="30.140625" style="1" bestFit="1" customWidth="1"/>
    <col min="3" max="3" width="73.28515625" style="1" bestFit="1" customWidth="1"/>
    <col min="4" max="4" width="9.140625" style="1"/>
    <col min="5" max="5" width="2" style="1" customWidth="1"/>
    <col min="6" max="16384" width="9.140625" style="1"/>
  </cols>
  <sheetData>
    <row r="1" spans="1:9" ht="16.5" thickBot="1" x14ac:dyDescent="0.3">
      <c r="A1" s="2" t="s">
        <v>0</v>
      </c>
      <c r="B1" s="25" t="s">
        <v>9</v>
      </c>
      <c r="C1" s="25" t="s">
        <v>311</v>
      </c>
    </row>
    <row r="2" spans="1:9" s="4" customFormat="1" x14ac:dyDescent="0.25">
      <c r="A2" s="102" t="s">
        <v>29</v>
      </c>
      <c r="B2" s="103">
        <v>1773076</v>
      </c>
      <c r="C2" s="103" t="s">
        <v>310</v>
      </c>
      <c r="E2" s="113"/>
      <c r="F2" s="167" t="s">
        <v>320</v>
      </c>
      <c r="G2" s="167"/>
      <c r="H2" s="167"/>
      <c r="I2" s="168"/>
    </row>
    <row r="3" spans="1:9" s="4" customFormat="1" x14ac:dyDescent="0.25">
      <c r="A3" s="102" t="s">
        <v>31</v>
      </c>
      <c r="B3" s="103">
        <v>87500</v>
      </c>
      <c r="C3" s="103" t="s">
        <v>314</v>
      </c>
      <c r="E3" s="106"/>
      <c r="F3" s="107"/>
      <c r="G3" s="165" t="s">
        <v>318</v>
      </c>
      <c r="H3" s="165"/>
      <c r="I3" s="166"/>
    </row>
    <row r="4" spans="1:9" s="4" customFormat="1" x14ac:dyDescent="0.25">
      <c r="A4" s="87" t="s">
        <v>37</v>
      </c>
      <c r="B4" s="101">
        <v>400000</v>
      </c>
      <c r="C4" s="101" t="s">
        <v>313</v>
      </c>
      <c r="E4" s="106"/>
      <c r="G4" s="169"/>
      <c r="H4" s="169"/>
      <c r="I4" s="170"/>
    </row>
    <row r="5" spans="1:9" s="4" customFormat="1" x14ac:dyDescent="0.25">
      <c r="A5" s="102" t="s">
        <v>43</v>
      </c>
      <c r="B5" s="103">
        <v>846164.08000000007</v>
      </c>
      <c r="C5" s="103" t="s">
        <v>310</v>
      </c>
      <c r="E5" s="106"/>
      <c r="F5" s="108"/>
      <c r="G5" s="165" t="s">
        <v>317</v>
      </c>
      <c r="H5" s="165"/>
      <c r="I5" s="166"/>
    </row>
    <row r="6" spans="1:9" s="4" customFormat="1" x14ac:dyDescent="0.25">
      <c r="A6" s="100" t="s">
        <v>277</v>
      </c>
      <c r="B6" s="65">
        <v>1059000</v>
      </c>
      <c r="C6" s="65" t="s">
        <v>39</v>
      </c>
      <c r="E6" s="106"/>
      <c r="G6" s="169"/>
      <c r="H6" s="169"/>
      <c r="I6" s="170"/>
    </row>
    <row r="7" spans="1:9" s="4" customFormat="1" x14ac:dyDescent="0.25">
      <c r="A7" s="100" t="s">
        <v>113</v>
      </c>
      <c r="B7" s="65">
        <v>1011571</v>
      </c>
      <c r="C7" s="65" t="s">
        <v>39</v>
      </c>
      <c r="E7" s="106"/>
      <c r="F7" s="109"/>
      <c r="G7" s="165" t="s">
        <v>319</v>
      </c>
      <c r="H7" s="165"/>
      <c r="I7" s="166"/>
    </row>
    <row r="8" spans="1:9" s="4" customFormat="1" ht="16.5" thickBot="1" x14ac:dyDescent="0.3">
      <c r="A8" s="100" t="s">
        <v>49</v>
      </c>
      <c r="B8" s="65">
        <v>420000</v>
      </c>
      <c r="C8" s="65" t="s">
        <v>39</v>
      </c>
      <c r="E8" s="110"/>
      <c r="F8" s="111"/>
      <c r="G8" s="111"/>
      <c r="H8" s="111"/>
      <c r="I8" s="112"/>
    </row>
    <row r="9" spans="1:9" s="4" customFormat="1" x14ac:dyDescent="0.25">
      <c r="A9" s="100" t="s">
        <v>235</v>
      </c>
      <c r="B9" s="65">
        <v>500000</v>
      </c>
      <c r="C9" s="65" t="s">
        <v>39</v>
      </c>
    </row>
    <row r="10" spans="1:9" s="4" customFormat="1" x14ac:dyDescent="0.25">
      <c r="A10" s="100" t="s">
        <v>50</v>
      </c>
      <c r="B10" s="65">
        <v>493073.79000000004</v>
      </c>
      <c r="C10" s="65" t="s">
        <v>39</v>
      </c>
    </row>
    <row r="11" spans="1:9" s="4" customFormat="1" x14ac:dyDescent="0.25">
      <c r="A11" s="87" t="s">
        <v>51</v>
      </c>
      <c r="B11" s="101">
        <v>74204.97</v>
      </c>
      <c r="C11" s="101" t="s">
        <v>312</v>
      </c>
    </row>
    <row r="12" spans="1:9" s="4" customFormat="1" x14ac:dyDescent="0.25">
      <c r="A12" s="105" t="s">
        <v>216</v>
      </c>
      <c r="B12" s="65">
        <v>27424.17</v>
      </c>
      <c r="C12" s="65" t="s">
        <v>39</v>
      </c>
    </row>
    <row r="13" spans="1:9" s="4" customFormat="1" x14ac:dyDescent="0.25">
      <c r="A13" s="105" t="s">
        <v>295</v>
      </c>
      <c r="B13" s="65">
        <v>162254.04000000004</v>
      </c>
      <c r="C13" s="65" t="s">
        <v>39</v>
      </c>
    </row>
    <row r="14" spans="1:9" s="4" customFormat="1" x14ac:dyDescent="0.25">
      <c r="A14" s="104" t="s">
        <v>115</v>
      </c>
      <c r="B14" s="103">
        <v>64026.65</v>
      </c>
      <c r="C14" s="103" t="s">
        <v>314</v>
      </c>
    </row>
    <row r="15" spans="1:9" s="4" customFormat="1" x14ac:dyDescent="0.25">
      <c r="A15" s="105" t="s">
        <v>116</v>
      </c>
      <c r="B15" s="65">
        <v>75000</v>
      </c>
      <c r="C15" s="65" t="s">
        <v>39</v>
      </c>
    </row>
    <row r="16" spans="1:9" s="4" customFormat="1" x14ac:dyDescent="0.25">
      <c r="A16" s="100" t="s">
        <v>250</v>
      </c>
      <c r="B16" s="65">
        <v>1200000</v>
      </c>
      <c r="C16" s="65" t="s">
        <v>39</v>
      </c>
    </row>
    <row r="17" spans="1:3" s="4" customFormat="1" x14ac:dyDescent="0.25">
      <c r="A17" s="100" t="s">
        <v>238</v>
      </c>
      <c r="B17" s="65">
        <v>40000</v>
      </c>
      <c r="C17" s="65" t="s">
        <v>39</v>
      </c>
    </row>
    <row r="18" spans="1:3" s="4" customFormat="1" x14ac:dyDescent="0.25">
      <c r="A18" s="100" t="s">
        <v>258</v>
      </c>
      <c r="B18" s="65">
        <v>200000</v>
      </c>
      <c r="C18" s="65" t="s">
        <v>39</v>
      </c>
    </row>
    <row r="19" spans="1:3" s="4" customFormat="1" x14ac:dyDescent="0.25">
      <c r="A19" s="100" t="s">
        <v>242</v>
      </c>
      <c r="B19" s="65">
        <v>400000</v>
      </c>
      <c r="C19" s="65" t="s">
        <v>39</v>
      </c>
    </row>
    <row r="20" spans="1:3" s="4" customFormat="1" x14ac:dyDescent="0.25">
      <c r="A20" s="87" t="s">
        <v>304</v>
      </c>
      <c r="B20" s="101">
        <v>330000</v>
      </c>
      <c r="C20" s="101" t="s">
        <v>315</v>
      </c>
    </row>
    <row r="21" spans="1:3" s="4" customFormat="1" x14ac:dyDescent="0.25">
      <c r="A21" s="100" t="s">
        <v>306</v>
      </c>
      <c r="B21" s="65">
        <v>88000</v>
      </c>
      <c r="C21" s="65" t="s">
        <v>39</v>
      </c>
    </row>
    <row r="22" spans="1:3" s="4" customFormat="1" x14ac:dyDescent="0.25">
      <c r="A22" s="100" t="s">
        <v>305</v>
      </c>
      <c r="B22" s="65">
        <v>700000</v>
      </c>
      <c r="C22" s="65" t="s">
        <v>39</v>
      </c>
    </row>
    <row r="23" spans="1:3" s="4" customFormat="1" x14ac:dyDescent="0.25">
      <c r="A23" s="100" t="s">
        <v>307</v>
      </c>
      <c r="B23" s="65">
        <v>135000</v>
      </c>
      <c r="C23" s="65" t="s">
        <v>39</v>
      </c>
    </row>
    <row r="24" spans="1:3" s="4" customFormat="1" x14ac:dyDescent="0.25">
      <c r="A24" s="100" t="s">
        <v>308</v>
      </c>
      <c r="B24" s="65">
        <v>3750000</v>
      </c>
      <c r="C24" s="65" t="s">
        <v>39</v>
      </c>
    </row>
    <row r="25" spans="1:3" s="4" customFormat="1" x14ac:dyDescent="0.25">
      <c r="A25" s="100" t="s">
        <v>309</v>
      </c>
      <c r="B25" s="65">
        <v>720000</v>
      </c>
      <c r="C25" s="65" t="s">
        <v>316</v>
      </c>
    </row>
    <row r="26" spans="1:3" s="4" customFormat="1" x14ac:dyDescent="0.25">
      <c r="A26" s="99" t="s">
        <v>74</v>
      </c>
      <c r="B26" s="72">
        <f>SUM(B2:B25)</f>
        <v>14556294.699999999</v>
      </c>
      <c r="C26" s="72"/>
    </row>
  </sheetData>
  <mergeCells count="6">
    <mergeCell ref="G7:I7"/>
    <mergeCell ref="F2:I2"/>
    <mergeCell ref="G3:I3"/>
    <mergeCell ref="G4:I4"/>
    <mergeCell ref="G5:I5"/>
    <mergeCell ref="G6:I6"/>
  </mergeCells>
  <pageMargins left="0.7" right="0.7" top="0.75" bottom="0.75" header="0.3" footer="0.3"/>
  <pageSetup scale="2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54D2-6B3B-45ED-B640-39991A966F47}">
  <dimension ref="A1:AB4"/>
  <sheetViews>
    <sheetView zoomScale="85" zoomScaleNormal="85" workbookViewId="0">
      <selection activeCell="A45" sqref="A45"/>
    </sheetView>
  </sheetViews>
  <sheetFormatPr defaultRowHeight="15" x14ac:dyDescent="0.25"/>
  <cols>
    <col min="1" max="1" width="36.7109375" style="8" bestFit="1" customWidth="1"/>
    <col min="2" max="27" width="9.140625" style="8"/>
    <col min="28" max="28" width="8.28515625" style="8" customWidth="1"/>
    <col min="29" max="16384" width="9.140625" style="8"/>
  </cols>
  <sheetData>
    <row r="1" spans="1:28" ht="21" x14ac:dyDescent="0.35">
      <c r="A1" s="95" t="s">
        <v>274</v>
      </c>
      <c r="B1" s="171" t="s">
        <v>273</v>
      </c>
      <c r="C1" s="171"/>
      <c r="D1" s="171"/>
      <c r="E1" s="171"/>
      <c r="F1" s="171"/>
      <c r="G1" s="171"/>
      <c r="H1" s="171"/>
      <c r="I1" s="171"/>
      <c r="J1" s="171"/>
      <c r="K1" s="171"/>
      <c r="L1" s="171"/>
    </row>
    <row r="4" spans="1:28" x14ac:dyDescent="0.25">
      <c r="A4" s="172" t="s">
        <v>275</v>
      </c>
      <c r="B4" s="172"/>
      <c r="C4" s="172"/>
      <c r="D4" s="172"/>
      <c r="E4" s="172"/>
      <c r="F4" s="172"/>
      <c r="G4" s="172"/>
      <c r="H4" s="172"/>
      <c r="I4" s="172"/>
      <c r="J4" s="172"/>
      <c r="K4" s="172"/>
      <c r="L4" s="172"/>
      <c r="M4" s="96"/>
      <c r="N4" s="172" t="s">
        <v>276</v>
      </c>
      <c r="O4" s="172"/>
      <c r="P4" s="172"/>
      <c r="Q4" s="172"/>
      <c r="R4" s="172"/>
      <c r="S4" s="172"/>
      <c r="T4" s="172"/>
      <c r="U4" s="172"/>
      <c r="V4" s="172"/>
      <c r="W4" s="172"/>
      <c r="X4" s="172"/>
      <c r="Y4" s="172"/>
      <c r="Z4" s="172"/>
      <c r="AA4" s="172"/>
      <c r="AB4" s="172"/>
    </row>
  </sheetData>
  <mergeCells count="3">
    <mergeCell ref="B1:L1"/>
    <mergeCell ref="A4:L4"/>
    <mergeCell ref="N4:AB4"/>
  </mergeCells>
  <hyperlinks>
    <hyperlink ref="B1" r:id="rId1" display="https://www.huduser.gov/portal/sadda/sadda_qct.html" xr:uid="{F0CFC522-9C64-4008-BCCC-44C69DDCD5A4}"/>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6EA2-9774-4571-A818-2D48A5E6F870}">
  <dimension ref="A1:E20"/>
  <sheetViews>
    <sheetView workbookViewId="0">
      <selection activeCell="I4" sqref="I4"/>
    </sheetView>
  </sheetViews>
  <sheetFormatPr defaultRowHeight="15" x14ac:dyDescent="0.25"/>
  <cols>
    <col min="1" max="1" width="23.5703125" style="8" customWidth="1"/>
    <col min="2" max="2" width="28.140625" style="8" customWidth="1"/>
    <col min="3" max="3" width="27.7109375" style="8" customWidth="1"/>
    <col min="4" max="4" width="45.140625" style="8" customWidth="1"/>
    <col min="5" max="5" width="14.140625" style="8" customWidth="1"/>
    <col min="6" max="16384" width="9.140625" style="8"/>
  </cols>
  <sheetData>
    <row r="1" spans="1:5" ht="15.75" x14ac:dyDescent="0.25">
      <c r="A1" s="173"/>
      <c r="B1" s="173"/>
      <c r="C1" s="173"/>
      <c r="D1" s="173"/>
      <c r="E1" s="174"/>
    </row>
    <row r="2" spans="1:5" ht="38.25" x14ac:dyDescent="0.25">
      <c r="A2" s="9" t="s">
        <v>55</v>
      </c>
      <c r="B2" s="9" t="s">
        <v>56</v>
      </c>
      <c r="C2" s="9" t="s">
        <v>5</v>
      </c>
      <c r="D2" s="10" t="s">
        <v>10</v>
      </c>
      <c r="E2" s="11" t="s">
        <v>57</v>
      </c>
    </row>
    <row r="3" spans="1:5" ht="102" x14ac:dyDescent="0.25">
      <c r="A3" s="13" t="s">
        <v>59</v>
      </c>
      <c r="B3" s="13" t="s">
        <v>90</v>
      </c>
      <c r="C3" s="13" t="s">
        <v>91</v>
      </c>
      <c r="D3" s="13" t="s">
        <v>73</v>
      </c>
      <c r="E3" s="12">
        <v>1865526.08</v>
      </c>
    </row>
    <row r="4" spans="1:5" ht="216.75" x14ac:dyDescent="0.25">
      <c r="A4" s="13" t="s">
        <v>88</v>
      </c>
      <c r="B4" s="13" t="s">
        <v>92</v>
      </c>
      <c r="C4" s="13" t="s">
        <v>46</v>
      </c>
      <c r="D4" s="13" t="s">
        <v>96</v>
      </c>
      <c r="E4" s="12">
        <v>465006.07</v>
      </c>
    </row>
    <row r="5" spans="1:5" ht="127.5" x14ac:dyDescent="0.25">
      <c r="A5" s="13" t="s">
        <v>93</v>
      </c>
      <c r="B5" s="13" t="s">
        <v>94</v>
      </c>
      <c r="C5" s="13" t="s">
        <v>64</v>
      </c>
      <c r="D5" s="13" t="s">
        <v>95</v>
      </c>
      <c r="E5" s="12">
        <v>179000</v>
      </c>
    </row>
    <row r="6" spans="1:5" ht="63.75" x14ac:dyDescent="0.25">
      <c r="A6" s="13" t="s">
        <v>58</v>
      </c>
      <c r="B6" s="13" t="s">
        <v>98</v>
      </c>
      <c r="C6" s="13" t="s">
        <v>97</v>
      </c>
      <c r="D6" s="13" t="s">
        <v>99</v>
      </c>
      <c r="E6" s="12">
        <v>225000</v>
      </c>
    </row>
    <row r="7" spans="1:5" x14ac:dyDescent="0.25">
      <c r="A7" s="13" t="s">
        <v>84</v>
      </c>
      <c r="B7" s="13" t="s">
        <v>90</v>
      </c>
      <c r="C7" s="13" t="s">
        <v>100</v>
      </c>
      <c r="D7" s="13" t="s">
        <v>66</v>
      </c>
      <c r="E7" s="13" t="s">
        <v>66</v>
      </c>
    </row>
    <row r="8" spans="1:5" ht="89.25" x14ac:dyDescent="0.25">
      <c r="A8" s="13" t="s">
        <v>85</v>
      </c>
      <c r="B8" s="13" t="s">
        <v>94</v>
      </c>
      <c r="C8" s="13" t="s">
        <v>101</v>
      </c>
      <c r="D8" s="13" t="s">
        <v>102</v>
      </c>
      <c r="E8" s="12">
        <v>700000</v>
      </c>
    </row>
    <row r="9" spans="1:5" ht="25.5" x14ac:dyDescent="0.25">
      <c r="A9" s="13" t="s">
        <v>110</v>
      </c>
      <c r="B9" s="13" t="s">
        <v>94</v>
      </c>
      <c r="C9" s="13" t="s">
        <v>111</v>
      </c>
      <c r="D9" s="13" t="s">
        <v>66</v>
      </c>
      <c r="E9" s="12" t="s">
        <v>66</v>
      </c>
    </row>
    <row r="10" spans="1:5" x14ac:dyDescent="0.25">
      <c r="A10" s="13" t="s">
        <v>109</v>
      </c>
      <c r="B10" s="13" t="s">
        <v>94</v>
      </c>
      <c r="C10" s="13" t="s">
        <v>111</v>
      </c>
      <c r="D10" s="13" t="s">
        <v>66</v>
      </c>
      <c r="E10" s="12">
        <v>7000000</v>
      </c>
    </row>
    <row r="11" spans="1:5" ht="153" x14ac:dyDescent="0.25">
      <c r="A11" s="13" t="s">
        <v>87</v>
      </c>
      <c r="B11" s="13" t="s">
        <v>103</v>
      </c>
      <c r="C11" s="13" t="s">
        <v>104</v>
      </c>
      <c r="D11" s="13" t="s">
        <v>105</v>
      </c>
      <c r="E11" s="12">
        <f>93445+650000+876000</f>
        <v>1619445</v>
      </c>
    </row>
    <row r="12" spans="1:5" x14ac:dyDescent="0.25">
      <c r="A12" s="13" t="s">
        <v>61</v>
      </c>
      <c r="B12" s="13" t="s">
        <v>66</v>
      </c>
      <c r="C12" s="13" t="s">
        <v>66</v>
      </c>
      <c r="D12" s="13" t="s">
        <v>62</v>
      </c>
      <c r="E12" s="12">
        <v>100000</v>
      </c>
    </row>
    <row r="13" spans="1:5" x14ac:dyDescent="0.25">
      <c r="A13" s="13" t="s">
        <v>60</v>
      </c>
      <c r="B13" s="13" t="s">
        <v>66</v>
      </c>
      <c r="C13" s="13" t="s">
        <v>66</v>
      </c>
      <c r="D13" s="13" t="s">
        <v>45</v>
      </c>
      <c r="E13" s="12">
        <v>40000</v>
      </c>
    </row>
    <row r="14" spans="1:5" ht="25.5" x14ac:dyDescent="0.25">
      <c r="A14" s="13" t="s">
        <v>86</v>
      </c>
      <c r="B14" s="13" t="s">
        <v>92</v>
      </c>
      <c r="C14" s="13" t="s">
        <v>106</v>
      </c>
      <c r="D14" s="13" t="s">
        <v>66</v>
      </c>
      <c r="E14" s="12">
        <v>19000</v>
      </c>
    </row>
    <row r="15" spans="1:5" ht="229.5" x14ac:dyDescent="0.25">
      <c r="A15" s="13" t="s">
        <v>63</v>
      </c>
      <c r="B15" s="13" t="s">
        <v>18</v>
      </c>
      <c r="C15" s="13" t="s">
        <v>64</v>
      </c>
      <c r="D15" s="13" t="s">
        <v>65</v>
      </c>
      <c r="E15" s="12">
        <v>1700000</v>
      </c>
    </row>
    <row r="16" spans="1:5" x14ac:dyDescent="0.25">
      <c r="A16" s="13" t="s">
        <v>78</v>
      </c>
      <c r="B16" s="12" t="s">
        <v>107</v>
      </c>
      <c r="C16" s="12" t="s">
        <v>66</v>
      </c>
      <c r="D16" s="13" t="s">
        <v>234</v>
      </c>
      <c r="E16" s="12">
        <v>45000</v>
      </c>
    </row>
    <row r="17" spans="1:5" ht="61.5" customHeight="1" x14ac:dyDescent="0.25">
      <c r="A17" s="13" t="s">
        <v>81</v>
      </c>
      <c r="B17" s="13" t="s">
        <v>82</v>
      </c>
      <c r="C17" s="13" t="s">
        <v>42</v>
      </c>
      <c r="D17" s="13" t="s">
        <v>83</v>
      </c>
      <c r="E17" s="12" t="s">
        <v>66</v>
      </c>
    </row>
    <row r="18" spans="1:5" ht="61.5" customHeight="1" x14ac:dyDescent="0.25">
      <c r="A18" s="13" t="s">
        <v>89</v>
      </c>
      <c r="B18" s="12" t="s">
        <v>92</v>
      </c>
      <c r="C18" s="12" t="s">
        <v>106</v>
      </c>
      <c r="D18" s="12" t="s">
        <v>108</v>
      </c>
      <c r="E18" s="12">
        <v>4174000</v>
      </c>
    </row>
    <row r="19" spans="1:5" ht="61.5" customHeight="1" x14ac:dyDescent="0.25">
      <c r="A19" s="13" t="s">
        <v>232</v>
      </c>
      <c r="B19" s="12" t="s">
        <v>92</v>
      </c>
      <c r="C19" s="12" t="s">
        <v>106</v>
      </c>
      <c r="D19" s="12" t="s">
        <v>233</v>
      </c>
      <c r="E19" s="12">
        <v>600000</v>
      </c>
    </row>
    <row r="20" spans="1:5" x14ac:dyDescent="0.25">
      <c r="A20" s="175"/>
      <c r="B20" s="175"/>
      <c r="C20" s="175"/>
      <c r="D20" s="175"/>
      <c r="E20" s="12">
        <f>SUM(E3:E19)</f>
        <v>18731977.149999999</v>
      </c>
    </row>
  </sheetData>
  <mergeCells count="2">
    <mergeCell ref="A1:E1"/>
    <mergeCell ref="A20:D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D50C-18A0-45C2-B8BC-FF4BFC0D7DAB}">
  <dimension ref="A1:CM89"/>
  <sheetViews>
    <sheetView workbookViewId="0">
      <selection activeCell="E13" sqref="E13"/>
    </sheetView>
  </sheetViews>
  <sheetFormatPr defaultRowHeight="15.75" x14ac:dyDescent="0.25"/>
  <cols>
    <col min="1" max="1" width="24.85546875" style="1" customWidth="1"/>
    <col min="2" max="2" width="19.85546875" style="1" customWidth="1"/>
    <col min="3" max="6" width="36.28515625" style="1" customWidth="1"/>
    <col min="7" max="91" width="9.140625" style="8"/>
  </cols>
  <sheetData>
    <row r="1" spans="1:6" ht="28.5" x14ac:dyDescent="0.45">
      <c r="A1" s="176" t="s">
        <v>262</v>
      </c>
      <c r="B1" s="177"/>
      <c r="C1" s="177"/>
      <c r="D1" s="177"/>
      <c r="E1" s="177"/>
      <c r="F1" s="177"/>
    </row>
    <row r="2" spans="1:6" ht="75" x14ac:dyDescent="0.25">
      <c r="A2" s="2" t="s">
        <v>0</v>
      </c>
      <c r="B2" s="25" t="s">
        <v>247</v>
      </c>
      <c r="C2" s="25" t="s">
        <v>259</v>
      </c>
      <c r="D2" s="25" t="s">
        <v>260</v>
      </c>
      <c r="E2" s="25" t="s">
        <v>261</v>
      </c>
      <c r="F2" s="25" t="s">
        <v>263</v>
      </c>
    </row>
    <row r="3" spans="1:6" ht="30" x14ac:dyDescent="0.25">
      <c r="A3" s="83" t="s">
        <v>11</v>
      </c>
      <c r="B3" s="83" t="s">
        <v>252</v>
      </c>
      <c r="C3" s="83" t="s">
        <v>39</v>
      </c>
      <c r="D3" s="83" t="s">
        <v>69</v>
      </c>
      <c r="E3" s="83"/>
      <c r="F3" s="83"/>
    </row>
    <row r="4" spans="1:6" ht="30" x14ac:dyDescent="0.25">
      <c r="A4" s="84" t="s">
        <v>75</v>
      </c>
      <c r="B4" s="84" t="s">
        <v>244</v>
      </c>
      <c r="C4" s="84" t="s">
        <v>13</v>
      </c>
      <c r="D4" s="84" t="s">
        <v>13</v>
      </c>
      <c r="E4" s="84" t="s">
        <v>13</v>
      </c>
      <c r="F4" s="84"/>
    </row>
    <row r="5" spans="1:6" ht="30" x14ac:dyDescent="0.25">
      <c r="A5" s="83" t="s">
        <v>112</v>
      </c>
      <c r="B5" s="85" t="s">
        <v>245</v>
      </c>
      <c r="C5" s="83" t="s">
        <v>39</v>
      </c>
      <c r="D5" s="83" t="s">
        <v>69</v>
      </c>
      <c r="E5" s="83"/>
      <c r="F5" s="83"/>
    </row>
    <row r="6" spans="1:6" ht="30" x14ac:dyDescent="0.25">
      <c r="A6" s="83" t="s">
        <v>221</v>
      </c>
      <c r="B6" s="83" t="s">
        <v>252</v>
      </c>
      <c r="C6" s="83" t="s">
        <v>39</v>
      </c>
      <c r="D6" s="83" t="s">
        <v>69</v>
      </c>
      <c r="E6" s="83"/>
      <c r="F6" s="83"/>
    </row>
    <row r="7" spans="1:6" ht="30" x14ac:dyDescent="0.25">
      <c r="A7" s="84" t="s">
        <v>20</v>
      </c>
      <c r="B7" s="84" t="s">
        <v>244</v>
      </c>
      <c r="C7" s="84" t="s">
        <v>13</v>
      </c>
      <c r="D7" s="84" t="s">
        <v>13</v>
      </c>
      <c r="E7" s="84" t="s">
        <v>13</v>
      </c>
      <c r="F7" s="84" t="s">
        <v>266</v>
      </c>
    </row>
    <row r="8" spans="1:6" ht="30" x14ac:dyDescent="0.25">
      <c r="A8" s="84" t="s">
        <v>22</v>
      </c>
      <c r="B8" s="86" t="s">
        <v>244</v>
      </c>
      <c r="C8" s="84" t="s">
        <v>13</v>
      </c>
      <c r="D8" s="84" t="s">
        <v>264</v>
      </c>
      <c r="E8" s="84"/>
      <c r="F8" s="84"/>
    </row>
    <row r="9" spans="1:6" ht="30" x14ac:dyDescent="0.25">
      <c r="A9" s="83" t="s">
        <v>25</v>
      </c>
      <c r="B9" s="83" t="s">
        <v>246</v>
      </c>
      <c r="C9" s="83" t="s">
        <v>39</v>
      </c>
      <c r="D9" s="83" t="s">
        <v>69</v>
      </c>
      <c r="E9" s="83"/>
      <c r="F9" s="83"/>
    </row>
    <row r="10" spans="1:6" ht="30" x14ac:dyDescent="0.25">
      <c r="A10" s="83" t="s">
        <v>27</v>
      </c>
      <c r="B10" s="83" t="s">
        <v>246</v>
      </c>
      <c r="C10" s="83" t="s">
        <v>39</v>
      </c>
      <c r="D10" s="83" t="s">
        <v>69</v>
      </c>
      <c r="E10" s="83"/>
      <c r="F10" s="83"/>
    </row>
    <row r="11" spans="1:6" ht="30" x14ac:dyDescent="0.25">
      <c r="A11" s="84" t="s">
        <v>29</v>
      </c>
      <c r="B11" s="84" t="s">
        <v>244</v>
      </c>
      <c r="C11" s="84" t="s">
        <v>13</v>
      </c>
      <c r="D11" s="84" t="s">
        <v>265</v>
      </c>
      <c r="E11" s="84"/>
      <c r="F11" s="84"/>
    </row>
    <row r="12" spans="1:6" ht="30" x14ac:dyDescent="0.25">
      <c r="A12" s="83" t="s">
        <v>31</v>
      </c>
      <c r="B12" s="83" t="s">
        <v>252</v>
      </c>
      <c r="C12" s="83" t="s">
        <v>39</v>
      </c>
      <c r="D12" s="83" t="s">
        <v>69</v>
      </c>
      <c r="E12" s="83"/>
      <c r="F12" s="83"/>
    </row>
    <row r="13" spans="1:6" ht="30" x14ac:dyDescent="0.25">
      <c r="A13" s="84" t="s">
        <v>76</v>
      </c>
      <c r="B13" s="84" t="s">
        <v>244</v>
      </c>
      <c r="C13" s="84" t="s">
        <v>13</v>
      </c>
      <c r="D13" s="84" t="s">
        <v>13</v>
      </c>
      <c r="E13" s="84" t="s">
        <v>13</v>
      </c>
      <c r="F13" s="84"/>
    </row>
    <row r="14" spans="1:6" ht="30" x14ac:dyDescent="0.25">
      <c r="A14" s="83" t="s">
        <v>36</v>
      </c>
      <c r="B14" s="83" t="s">
        <v>248</v>
      </c>
      <c r="C14" s="83" t="s">
        <v>39</v>
      </c>
      <c r="D14" s="83" t="s">
        <v>69</v>
      </c>
      <c r="E14" s="83"/>
      <c r="F14" s="83"/>
    </row>
    <row r="15" spans="1:6" ht="30" x14ac:dyDescent="0.25">
      <c r="A15" s="87" t="s">
        <v>37</v>
      </c>
      <c r="B15" s="87" t="s">
        <v>66</v>
      </c>
      <c r="C15" s="87" t="s">
        <v>66</v>
      </c>
      <c r="D15" s="87" t="s">
        <v>39</v>
      </c>
      <c r="E15" s="87"/>
      <c r="F15" s="87"/>
    </row>
    <row r="16" spans="1:6" ht="30" x14ac:dyDescent="0.25">
      <c r="A16" s="83" t="s">
        <v>41</v>
      </c>
      <c r="B16" s="88" t="s">
        <v>245</v>
      </c>
      <c r="C16" s="83" t="s">
        <v>39</v>
      </c>
      <c r="D16" s="83" t="s">
        <v>69</v>
      </c>
      <c r="E16" s="83"/>
      <c r="F16" s="83"/>
    </row>
    <row r="17" spans="1:6" ht="30" x14ac:dyDescent="0.25">
      <c r="A17" s="83" t="s">
        <v>251</v>
      </c>
      <c r="B17" s="88" t="s">
        <v>249</v>
      </c>
      <c r="C17" s="83" t="s">
        <v>39</v>
      </c>
      <c r="D17" s="83" t="s">
        <v>69</v>
      </c>
      <c r="E17" s="83"/>
      <c r="F17" s="83"/>
    </row>
    <row r="18" spans="1:6" ht="30" x14ac:dyDescent="0.25">
      <c r="A18" s="84" t="s">
        <v>43</v>
      </c>
      <c r="B18" s="84" t="s">
        <v>244</v>
      </c>
      <c r="C18" s="84" t="s">
        <v>13</v>
      </c>
      <c r="D18" s="84" t="s">
        <v>39</v>
      </c>
      <c r="E18" s="84"/>
      <c r="F18" s="84"/>
    </row>
    <row r="19" spans="1:6" ht="60" x14ac:dyDescent="0.25">
      <c r="A19" s="83" t="s">
        <v>231</v>
      </c>
      <c r="B19" s="83" t="s">
        <v>252</v>
      </c>
      <c r="C19" s="83" t="s">
        <v>39</v>
      </c>
      <c r="D19" s="83" t="s">
        <v>69</v>
      </c>
      <c r="E19" s="83"/>
      <c r="F19" s="83"/>
    </row>
    <row r="20" spans="1:6" ht="30" x14ac:dyDescent="0.25">
      <c r="A20" s="83" t="s">
        <v>113</v>
      </c>
      <c r="B20" s="83" t="s">
        <v>252</v>
      </c>
      <c r="C20" s="83" t="s">
        <v>39</v>
      </c>
      <c r="D20" s="83" t="s">
        <v>69</v>
      </c>
      <c r="E20" s="83"/>
      <c r="F20" s="83"/>
    </row>
    <row r="21" spans="1:6" ht="30" x14ac:dyDescent="0.25">
      <c r="A21" s="83" t="s">
        <v>47</v>
      </c>
      <c r="B21" s="83" t="s">
        <v>248</v>
      </c>
      <c r="C21" s="83" t="s">
        <v>39</v>
      </c>
      <c r="D21" s="83" t="s">
        <v>69</v>
      </c>
      <c r="E21" s="83"/>
      <c r="F21" s="83"/>
    </row>
    <row r="22" spans="1:6" ht="30" x14ac:dyDescent="0.25">
      <c r="A22" s="87" t="s">
        <v>49</v>
      </c>
      <c r="B22" s="89" t="s">
        <v>66</v>
      </c>
      <c r="C22" s="87" t="s">
        <v>66</v>
      </c>
      <c r="D22" s="87" t="s">
        <v>39</v>
      </c>
      <c r="E22" s="87"/>
      <c r="F22" s="87"/>
    </row>
    <row r="23" spans="1:6" ht="45" x14ac:dyDescent="0.25">
      <c r="A23" s="83" t="s">
        <v>114</v>
      </c>
      <c r="B23" s="88" t="s">
        <v>245</v>
      </c>
      <c r="C23" s="83" t="s">
        <v>39</v>
      </c>
      <c r="D23" s="83" t="s">
        <v>69</v>
      </c>
      <c r="E23" s="83"/>
      <c r="F23" s="83"/>
    </row>
    <row r="24" spans="1:6" ht="45" x14ac:dyDescent="0.25">
      <c r="A24" s="87" t="s">
        <v>235</v>
      </c>
      <c r="B24" s="87" t="s">
        <v>66</v>
      </c>
      <c r="C24" s="87" t="s">
        <v>66</v>
      </c>
      <c r="D24" s="87" t="s">
        <v>39</v>
      </c>
      <c r="E24" s="87"/>
      <c r="F24" s="87"/>
    </row>
    <row r="25" spans="1:6" ht="30" x14ac:dyDescent="0.25">
      <c r="A25" s="83" t="s">
        <v>50</v>
      </c>
      <c r="B25" s="83" t="s">
        <v>252</v>
      </c>
      <c r="C25" s="83" t="s">
        <v>39</v>
      </c>
      <c r="D25" s="83" t="s">
        <v>69</v>
      </c>
      <c r="E25" s="83"/>
      <c r="F25" s="83"/>
    </row>
    <row r="26" spans="1:6" ht="30" x14ac:dyDescent="0.25">
      <c r="A26" s="83" t="s">
        <v>51</v>
      </c>
      <c r="B26" s="83" t="s">
        <v>252</v>
      </c>
      <c r="C26" s="83" t="s">
        <v>39</v>
      </c>
      <c r="D26" s="83" t="s">
        <v>69</v>
      </c>
      <c r="E26" s="83"/>
      <c r="F26" s="83"/>
    </row>
    <row r="27" spans="1:6" ht="30" x14ac:dyDescent="0.25">
      <c r="A27" s="90" t="s">
        <v>216</v>
      </c>
      <c r="B27" s="83" t="s">
        <v>252</v>
      </c>
      <c r="C27" s="83" t="s">
        <v>39</v>
      </c>
      <c r="D27" s="83" t="s">
        <v>69</v>
      </c>
      <c r="E27" s="83"/>
      <c r="F27" s="83"/>
    </row>
    <row r="28" spans="1:6" ht="30" x14ac:dyDescent="0.25">
      <c r="A28" s="90" t="s">
        <v>215</v>
      </c>
      <c r="B28" s="83" t="s">
        <v>252</v>
      </c>
      <c r="C28" s="83" t="s">
        <v>39</v>
      </c>
      <c r="D28" s="83" t="s">
        <v>69</v>
      </c>
      <c r="E28" s="83"/>
      <c r="F28" s="83"/>
    </row>
    <row r="29" spans="1:6" ht="30" x14ac:dyDescent="0.25">
      <c r="A29" s="90" t="s">
        <v>115</v>
      </c>
      <c r="B29" s="83" t="s">
        <v>252</v>
      </c>
      <c r="C29" s="83" t="s">
        <v>39</v>
      </c>
      <c r="D29" s="83" t="s">
        <v>69</v>
      </c>
      <c r="E29" s="83"/>
      <c r="F29" s="83"/>
    </row>
    <row r="30" spans="1:6" ht="30" x14ac:dyDescent="0.25">
      <c r="A30" s="90" t="s">
        <v>116</v>
      </c>
      <c r="B30" s="88" t="s">
        <v>245</v>
      </c>
      <c r="C30" s="83" t="s">
        <v>39</v>
      </c>
      <c r="D30" s="83" t="s">
        <v>69</v>
      </c>
      <c r="E30" s="83"/>
      <c r="F30" s="83"/>
    </row>
    <row r="31" spans="1:6" ht="45" x14ac:dyDescent="0.25">
      <c r="A31" s="83" t="s">
        <v>250</v>
      </c>
      <c r="B31" s="83" t="s">
        <v>249</v>
      </c>
      <c r="C31" s="83" t="s">
        <v>39</v>
      </c>
      <c r="D31" s="83" t="s">
        <v>69</v>
      </c>
      <c r="E31" s="83"/>
      <c r="F31" s="83"/>
    </row>
    <row r="32" spans="1:6" ht="15" x14ac:dyDescent="0.25">
      <c r="A32" s="87" t="s">
        <v>238</v>
      </c>
      <c r="B32" s="87" t="s">
        <v>66</v>
      </c>
      <c r="C32" s="87" t="s">
        <v>66</v>
      </c>
      <c r="D32" s="87" t="s">
        <v>39</v>
      </c>
      <c r="E32" s="87"/>
      <c r="F32" s="87"/>
    </row>
    <row r="33" spans="1:6" ht="30" x14ac:dyDescent="0.25">
      <c r="A33" s="83" t="s">
        <v>239</v>
      </c>
      <c r="B33" s="83" t="s">
        <v>245</v>
      </c>
      <c r="C33" s="83" t="s">
        <v>39</v>
      </c>
      <c r="D33" s="83" t="s">
        <v>69</v>
      </c>
      <c r="E33" s="83"/>
      <c r="F33" s="83"/>
    </row>
    <row r="34" spans="1:6" ht="30" x14ac:dyDescent="0.25">
      <c r="A34" s="83" t="s">
        <v>240</v>
      </c>
      <c r="B34" s="83" t="s">
        <v>245</v>
      </c>
      <c r="C34" s="83" t="s">
        <v>39</v>
      </c>
      <c r="D34" s="83" t="s">
        <v>69</v>
      </c>
      <c r="E34" s="83"/>
      <c r="F34" s="83"/>
    </row>
    <row r="35" spans="1:6" ht="30" x14ac:dyDescent="0.25">
      <c r="A35" s="83" t="s">
        <v>241</v>
      </c>
      <c r="B35" s="83" t="s">
        <v>249</v>
      </c>
      <c r="C35" s="83" t="s">
        <v>39</v>
      </c>
      <c r="D35" s="83" t="s">
        <v>69</v>
      </c>
      <c r="E35" s="83"/>
      <c r="F35" s="83"/>
    </row>
    <row r="36" spans="1:6" ht="30" x14ac:dyDescent="0.25">
      <c r="A36" s="87" t="s">
        <v>258</v>
      </c>
      <c r="B36" s="87" t="s">
        <v>66</v>
      </c>
      <c r="C36" s="87" t="s">
        <v>66</v>
      </c>
      <c r="D36" s="87" t="s">
        <v>39</v>
      </c>
      <c r="E36" s="87"/>
      <c r="F36" s="87"/>
    </row>
    <row r="37" spans="1:6" ht="30" x14ac:dyDescent="0.25">
      <c r="A37" s="87" t="s">
        <v>242</v>
      </c>
      <c r="B37" s="87" t="s">
        <v>66</v>
      </c>
      <c r="C37" s="87" t="s">
        <v>66</v>
      </c>
      <c r="D37" s="87" t="s">
        <v>39</v>
      </c>
      <c r="E37" s="87"/>
      <c r="F37" s="87"/>
    </row>
    <row r="38" spans="1:6" ht="30" x14ac:dyDescent="0.25">
      <c r="A38" s="84" t="s">
        <v>243</v>
      </c>
      <c r="B38" s="84" t="s">
        <v>244</v>
      </c>
      <c r="C38" s="84" t="s">
        <v>13</v>
      </c>
      <c r="D38" s="84" t="s">
        <v>39</v>
      </c>
      <c r="E38" s="84"/>
      <c r="F38" s="84"/>
    </row>
    <row r="39" spans="1:6" s="8" customFormat="1" ht="15" x14ac:dyDescent="0.25"/>
    <row r="40" spans="1:6" s="8" customFormat="1" ht="15" x14ac:dyDescent="0.25">
      <c r="A40" s="5"/>
      <c r="B40" s="5"/>
      <c r="C40" s="5"/>
      <c r="D40" s="5"/>
      <c r="E40" s="5"/>
      <c r="F40" s="5"/>
    </row>
    <row r="41" spans="1:6" s="8" customFormat="1" ht="15" x14ac:dyDescent="0.25">
      <c r="A41" s="5"/>
      <c r="B41" s="5"/>
      <c r="C41" s="5"/>
      <c r="D41" s="5"/>
      <c r="E41" s="5"/>
      <c r="F41" s="5"/>
    </row>
    <row r="42" spans="1:6" s="8" customFormat="1" ht="15" x14ac:dyDescent="0.25">
      <c r="A42" s="5"/>
      <c r="B42" s="5"/>
      <c r="C42" s="5"/>
      <c r="D42" s="5"/>
      <c r="E42" s="5"/>
      <c r="F42" s="5"/>
    </row>
    <row r="43" spans="1:6" s="8" customFormat="1" ht="15" x14ac:dyDescent="0.25">
      <c r="A43" s="5"/>
      <c r="B43" s="5"/>
      <c r="C43" s="5"/>
      <c r="D43" s="5"/>
      <c r="E43" s="5"/>
      <c r="F43" s="5"/>
    </row>
    <row r="44" spans="1:6" s="8" customFormat="1" ht="15" x14ac:dyDescent="0.25">
      <c r="A44" s="5"/>
      <c r="B44" s="5"/>
      <c r="C44" s="5"/>
      <c r="D44" s="5"/>
      <c r="E44" s="5"/>
      <c r="F44" s="5"/>
    </row>
    <row r="45" spans="1:6" s="8" customFormat="1" ht="15" x14ac:dyDescent="0.25">
      <c r="A45" s="5"/>
      <c r="B45" s="5"/>
      <c r="C45" s="5"/>
      <c r="D45" s="5"/>
      <c r="E45" s="5"/>
      <c r="F45" s="5"/>
    </row>
    <row r="46" spans="1:6" s="8" customFormat="1" ht="15" x14ac:dyDescent="0.25">
      <c r="A46" s="5"/>
      <c r="B46" s="5"/>
      <c r="C46" s="5"/>
      <c r="D46" s="5"/>
      <c r="E46" s="5"/>
      <c r="F46" s="5"/>
    </row>
    <row r="47" spans="1:6" s="8" customFormat="1" ht="15" x14ac:dyDescent="0.25">
      <c r="A47" s="5"/>
      <c r="B47" s="5"/>
      <c r="C47" s="5"/>
      <c r="D47" s="5"/>
      <c r="E47" s="5"/>
      <c r="F47" s="5"/>
    </row>
    <row r="48" spans="1:6" s="8" customFormat="1" ht="15" x14ac:dyDescent="0.25">
      <c r="A48" s="5"/>
      <c r="B48" s="5"/>
      <c r="C48" s="5"/>
      <c r="D48" s="5"/>
      <c r="E48" s="5"/>
      <c r="F48" s="5"/>
    </row>
    <row r="49" spans="1:6" s="8" customFormat="1" ht="15" x14ac:dyDescent="0.25">
      <c r="A49" s="5"/>
      <c r="B49" s="5"/>
      <c r="C49" s="5"/>
      <c r="D49" s="5"/>
      <c r="E49" s="5"/>
      <c r="F49" s="5"/>
    </row>
    <row r="50" spans="1:6" s="8" customFormat="1" ht="15" x14ac:dyDescent="0.25">
      <c r="A50" s="5"/>
      <c r="B50" s="5"/>
      <c r="C50" s="5"/>
      <c r="D50" s="5"/>
      <c r="E50" s="5"/>
      <c r="F50" s="5"/>
    </row>
    <row r="51" spans="1:6" s="8" customFormat="1" ht="15" x14ac:dyDescent="0.25">
      <c r="A51" s="5"/>
      <c r="B51" s="5"/>
      <c r="C51" s="5"/>
      <c r="D51" s="5"/>
      <c r="E51" s="5"/>
      <c r="F51" s="5"/>
    </row>
    <row r="52" spans="1:6" s="8" customFormat="1" ht="18.75" x14ac:dyDescent="0.25">
      <c r="A52" s="19"/>
      <c r="B52" s="19"/>
      <c r="C52" s="19"/>
      <c r="D52" s="19"/>
      <c r="E52" s="19"/>
      <c r="F52" s="19"/>
    </row>
    <row r="53" spans="1:6" s="8" customFormat="1" ht="15" x14ac:dyDescent="0.25"/>
    <row r="54" spans="1:6" s="8" customFormat="1" x14ac:dyDescent="0.25">
      <c r="A54" s="1"/>
      <c r="B54" s="1"/>
      <c r="C54" s="1"/>
      <c r="D54" s="1"/>
      <c r="E54" s="1"/>
      <c r="F54" s="1"/>
    </row>
    <row r="55" spans="1:6" s="8" customFormat="1" x14ac:dyDescent="0.25">
      <c r="A55" s="1"/>
      <c r="B55" s="1"/>
      <c r="C55" s="1"/>
      <c r="D55" s="1"/>
      <c r="E55" s="1"/>
      <c r="F55" s="1"/>
    </row>
    <row r="56" spans="1:6" s="8" customFormat="1" x14ac:dyDescent="0.25">
      <c r="A56" s="1"/>
      <c r="B56" s="1"/>
      <c r="C56" s="1"/>
      <c r="D56" s="1"/>
      <c r="E56" s="1"/>
      <c r="F56" s="1"/>
    </row>
    <row r="57" spans="1:6" s="8" customFormat="1" x14ac:dyDescent="0.25">
      <c r="A57" s="1"/>
      <c r="B57" s="1"/>
      <c r="C57" s="1"/>
      <c r="D57" s="1"/>
      <c r="E57" s="1"/>
      <c r="F57" s="1"/>
    </row>
    <row r="58" spans="1:6" s="8" customFormat="1" x14ac:dyDescent="0.25">
      <c r="A58" s="1"/>
      <c r="B58" s="1"/>
      <c r="C58" s="1"/>
      <c r="D58" s="1"/>
      <c r="E58" s="1"/>
      <c r="F58" s="1"/>
    </row>
    <row r="59" spans="1:6" s="8" customFormat="1" x14ac:dyDescent="0.25">
      <c r="A59" s="1"/>
      <c r="B59" s="1"/>
      <c r="C59" s="1"/>
      <c r="D59" s="1"/>
      <c r="E59" s="1"/>
      <c r="F59" s="1"/>
    </row>
    <row r="60" spans="1:6" s="8" customFormat="1" x14ac:dyDescent="0.25">
      <c r="A60" s="1"/>
      <c r="B60" s="1"/>
      <c r="C60" s="1"/>
      <c r="D60" s="1"/>
      <c r="E60" s="1"/>
      <c r="F60" s="1"/>
    </row>
    <row r="61" spans="1:6" s="8" customFormat="1" x14ac:dyDescent="0.25">
      <c r="A61" s="1"/>
      <c r="B61" s="1"/>
      <c r="C61" s="1"/>
      <c r="D61" s="1"/>
      <c r="E61" s="1"/>
      <c r="F61" s="1"/>
    </row>
    <row r="62" spans="1:6" s="8" customFormat="1" x14ac:dyDescent="0.25">
      <c r="A62" s="1"/>
      <c r="B62" s="1"/>
      <c r="C62" s="1"/>
      <c r="D62" s="1"/>
      <c r="E62" s="1"/>
      <c r="F62" s="1"/>
    </row>
    <row r="63" spans="1:6" s="8" customFormat="1" x14ac:dyDescent="0.25">
      <c r="A63" s="1"/>
      <c r="B63" s="1"/>
      <c r="C63" s="1"/>
      <c r="D63" s="1"/>
      <c r="E63" s="1"/>
      <c r="F63" s="1"/>
    </row>
    <row r="64" spans="1:6" s="8" customFormat="1" x14ac:dyDescent="0.25">
      <c r="A64" s="1"/>
      <c r="B64" s="1"/>
      <c r="C64" s="1"/>
      <c r="D64" s="1"/>
      <c r="E64" s="1"/>
      <c r="F64" s="1"/>
    </row>
    <row r="65" spans="1:6" s="8" customFormat="1" x14ac:dyDescent="0.25">
      <c r="A65" s="1"/>
      <c r="B65" s="1"/>
      <c r="C65" s="1"/>
      <c r="D65" s="1"/>
      <c r="E65" s="1"/>
      <c r="F65" s="1"/>
    </row>
    <row r="66" spans="1:6" s="8" customFormat="1" x14ac:dyDescent="0.25">
      <c r="A66" s="1"/>
      <c r="B66" s="1"/>
      <c r="C66" s="1"/>
      <c r="D66" s="1"/>
      <c r="E66" s="1"/>
      <c r="F66" s="1"/>
    </row>
    <row r="67" spans="1:6" s="8" customFormat="1" x14ac:dyDescent="0.25">
      <c r="A67" s="1"/>
      <c r="B67" s="1"/>
      <c r="C67" s="1"/>
      <c r="D67" s="1"/>
      <c r="E67" s="1"/>
      <c r="F67" s="1"/>
    </row>
    <row r="68" spans="1:6" s="8" customFormat="1" x14ac:dyDescent="0.25">
      <c r="A68" s="1"/>
      <c r="B68" s="1"/>
      <c r="C68" s="1"/>
      <c r="D68" s="1"/>
      <c r="E68" s="1"/>
      <c r="F68" s="1"/>
    </row>
    <row r="69" spans="1:6" s="8" customFormat="1" x14ac:dyDescent="0.25">
      <c r="A69" s="1"/>
      <c r="B69" s="1"/>
      <c r="C69" s="1"/>
      <c r="D69" s="1"/>
      <c r="E69" s="1"/>
      <c r="F69" s="1"/>
    </row>
    <row r="70" spans="1:6" s="8" customFormat="1" x14ac:dyDescent="0.25">
      <c r="A70" s="1"/>
      <c r="B70" s="1"/>
      <c r="C70" s="1"/>
      <c r="D70" s="1"/>
      <c r="E70" s="1"/>
      <c r="F70" s="1"/>
    </row>
    <row r="71" spans="1:6" s="8" customFormat="1" x14ac:dyDescent="0.25">
      <c r="A71" s="1"/>
      <c r="B71" s="1"/>
      <c r="C71" s="1"/>
      <c r="D71" s="1"/>
      <c r="E71" s="1"/>
      <c r="F71" s="1"/>
    </row>
    <row r="72" spans="1:6" s="8" customFormat="1" x14ac:dyDescent="0.25">
      <c r="A72" s="1"/>
      <c r="B72" s="1"/>
      <c r="C72" s="1"/>
      <c r="D72" s="1"/>
      <c r="E72" s="1"/>
      <c r="F72" s="1"/>
    </row>
    <row r="73" spans="1:6" s="8" customFormat="1" x14ac:dyDescent="0.25">
      <c r="A73" s="1"/>
      <c r="B73" s="1"/>
      <c r="C73" s="1"/>
      <c r="D73" s="1"/>
      <c r="E73" s="1"/>
      <c r="F73" s="1"/>
    </row>
    <row r="74" spans="1:6" s="8" customFormat="1" x14ac:dyDescent="0.25">
      <c r="A74" s="1"/>
      <c r="B74" s="1"/>
      <c r="C74" s="1"/>
      <c r="D74" s="1"/>
      <c r="E74" s="1"/>
      <c r="F74" s="1"/>
    </row>
    <row r="75" spans="1:6" s="8" customFormat="1" x14ac:dyDescent="0.25">
      <c r="A75" s="1"/>
      <c r="B75" s="1"/>
      <c r="C75" s="1"/>
      <c r="D75" s="1"/>
      <c r="E75" s="1"/>
      <c r="F75" s="1"/>
    </row>
    <row r="76" spans="1:6" s="8" customFormat="1" x14ac:dyDescent="0.25">
      <c r="A76" s="1"/>
      <c r="B76" s="1"/>
      <c r="C76" s="1"/>
      <c r="D76" s="1"/>
      <c r="E76" s="1"/>
      <c r="F76" s="1"/>
    </row>
    <row r="77" spans="1:6" s="8" customFormat="1" x14ac:dyDescent="0.25">
      <c r="A77" s="1"/>
      <c r="B77" s="1"/>
      <c r="C77" s="1"/>
      <c r="D77" s="1"/>
      <c r="E77" s="1"/>
      <c r="F77" s="1"/>
    </row>
    <row r="78" spans="1:6" s="8" customFormat="1" x14ac:dyDescent="0.25">
      <c r="A78" s="1"/>
      <c r="B78" s="1"/>
      <c r="C78" s="1"/>
      <c r="D78" s="1"/>
      <c r="E78" s="1"/>
      <c r="F78" s="1"/>
    </row>
    <row r="79" spans="1:6" s="8" customFormat="1" x14ac:dyDescent="0.25">
      <c r="A79" s="1"/>
      <c r="B79" s="1"/>
      <c r="C79" s="1"/>
      <c r="D79" s="1"/>
      <c r="E79" s="1"/>
      <c r="F79" s="1"/>
    </row>
    <row r="80" spans="1:6" s="8" customFormat="1" x14ac:dyDescent="0.25">
      <c r="A80" s="1"/>
      <c r="B80" s="1"/>
      <c r="C80" s="1"/>
      <c r="D80" s="1"/>
      <c r="E80" s="1"/>
      <c r="F80" s="1"/>
    </row>
    <row r="81" spans="1:6" s="8" customFormat="1" x14ac:dyDescent="0.25">
      <c r="A81" s="1"/>
      <c r="B81" s="1"/>
      <c r="C81" s="1"/>
      <c r="D81" s="1"/>
      <c r="E81" s="1"/>
      <c r="F81" s="1"/>
    </row>
    <row r="82" spans="1:6" s="8" customFormat="1" x14ac:dyDescent="0.25">
      <c r="A82" s="1"/>
      <c r="B82" s="1"/>
      <c r="C82" s="1"/>
      <c r="D82" s="1"/>
      <c r="E82" s="1"/>
      <c r="F82" s="1"/>
    </row>
    <row r="83" spans="1:6" s="8" customFormat="1" x14ac:dyDescent="0.25">
      <c r="A83" s="1"/>
      <c r="B83" s="1"/>
      <c r="C83" s="1"/>
      <c r="D83" s="1"/>
      <c r="E83" s="1"/>
      <c r="F83" s="1"/>
    </row>
    <row r="84" spans="1:6" s="8" customFormat="1" x14ac:dyDescent="0.25">
      <c r="A84" s="1"/>
      <c r="B84" s="1"/>
      <c r="C84" s="1"/>
      <c r="D84" s="1"/>
      <c r="E84" s="1"/>
      <c r="F84" s="1"/>
    </row>
    <row r="85" spans="1:6" s="8" customFormat="1" x14ac:dyDescent="0.25">
      <c r="A85" s="1"/>
      <c r="B85" s="1"/>
      <c r="C85" s="1"/>
      <c r="D85" s="1"/>
      <c r="E85" s="1"/>
      <c r="F85" s="1"/>
    </row>
    <row r="86" spans="1:6" s="8" customFormat="1" x14ac:dyDescent="0.25">
      <c r="A86" s="1"/>
      <c r="B86" s="1"/>
      <c r="C86" s="1"/>
      <c r="D86" s="1"/>
      <c r="E86" s="1"/>
      <c r="F86" s="1"/>
    </row>
    <row r="87" spans="1:6" s="8" customFormat="1" x14ac:dyDescent="0.25">
      <c r="A87" s="1"/>
      <c r="B87" s="1"/>
      <c r="C87" s="1"/>
      <c r="D87" s="1"/>
      <c r="E87" s="1"/>
      <c r="F87" s="1"/>
    </row>
    <row r="88" spans="1:6" s="8" customFormat="1" x14ac:dyDescent="0.25">
      <c r="A88" s="1"/>
      <c r="B88" s="1"/>
      <c r="C88" s="1"/>
      <c r="D88" s="1"/>
      <c r="E88" s="1"/>
      <c r="F88" s="1"/>
    </row>
    <row r="89" spans="1:6" s="8" customFormat="1" x14ac:dyDescent="0.25">
      <c r="A89" s="1"/>
      <c r="B89" s="1"/>
      <c r="C89" s="1"/>
      <c r="D89" s="1"/>
      <c r="E89" s="1"/>
      <c r="F89" s="1"/>
    </row>
  </sheetData>
  <mergeCells count="1">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F5AA4-2434-4347-9136-232E0262FFDE}">
  <dimension ref="A1:I28"/>
  <sheetViews>
    <sheetView workbookViewId="0">
      <selection activeCell="B35" sqref="B35"/>
    </sheetView>
  </sheetViews>
  <sheetFormatPr defaultColWidth="12.140625" defaultRowHeight="15" customHeight="1" x14ac:dyDescent="0.25"/>
  <cols>
    <col min="1" max="1" width="24.85546875" style="28" customWidth="1"/>
    <col min="2" max="2" width="70.85546875" style="28" customWidth="1"/>
    <col min="3" max="3" width="21.5703125" style="28" customWidth="1"/>
    <col min="4" max="4" width="23.7109375" style="28" customWidth="1"/>
    <col min="5" max="5" width="61.140625" style="28" customWidth="1"/>
    <col min="6" max="6" width="18.7109375" style="28" customWidth="1"/>
    <col min="7" max="7" width="17.42578125" style="28" customWidth="1"/>
    <col min="8" max="8" width="17.5703125" style="28" customWidth="1"/>
    <col min="9" max="9" width="16.7109375" style="28" customWidth="1"/>
    <col min="10" max="16384" width="12.140625" style="28"/>
  </cols>
  <sheetData>
    <row r="1" spans="1:9" ht="10.5" x14ac:dyDescent="0.25">
      <c r="A1" s="26" t="s">
        <v>117</v>
      </c>
      <c r="B1" s="26" t="s">
        <v>118</v>
      </c>
      <c r="C1" s="26" t="s">
        <v>119</v>
      </c>
      <c r="D1" s="26" t="s">
        <v>120</v>
      </c>
      <c r="E1" s="26" t="s">
        <v>121</v>
      </c>
      <c r="F1" s="26" t="s">
        <v>122</v>
      </c>
      <c r="G1" s="27" t="s">
        <v>123</v>
      </c>
      <c r="H1" s="27" t="s">
        <v>124</v>
      </c>
      <c r="I1" s="27" t="s">
        <v>125</v>
      </c>
    </row>
    <row r="2" spans="1:9" ht="10.5" x14ac:dyDescent="0.25">
      <c r="A2" s="29" t="s">
        <v>126</v>
      </c>
      <c r="B2" s="29" t="s">
        <v>127</v>
      </c>
      <c r="C2" s="29" t="s">
        <v>128</v>
      </c>
      <c r="D2" s="29" t="s">
        <v>129</v>
      </c>
      <c r="E2" s="29" t="s">
        <v>130</v>
      </c>
      <c r="F2" s="29" t="s">
        <v>131</v>
      </c>
      <c r="G2" s="29" t="s">
        <v>132</v>
      </c>
      <c r="H2" s="29" t="s">
        <v>132</v>
      </c>
      <c r="I2" s="29" t="s">
        <v>132</v>
      </c>
    </row>
    <row r="3" spans="1:9" ht="10.5" x14ac:dyDescent="0.25">
      <c r="A3" s="29" t="s">
        <v>133</v>
      </c>
      <c r="B3" s="29" t="s">
        <v>134</v>
      </c>
      <c r="C3" s="29" t="s">
        <v>128</v>
      </c>
      <c r="D3" s="29" t="s">
        <v>135</v>
      </c>
      <c r="E3" s="29" t="s">
        <v>136</v>
      </c>
      <c r="F3" s="29" t="s">
        <v>131</v>
      </c>
      <c r="G3" s="29" t="s">
        <v>132</v>
      </c>
      <c r="H3" s="29" t="s">
        <v>132</v>
      </c>
      <c r="I3" s="29" t="s">
        <v>132</v>
      </c>
    </row>
    <row r="4" spans="1:9" ht="10.5" x14ac:dyDescent="0.25">
      <c r="A4" s="29" t="s">
        <v>137</v>
      </c>
      <c r="B4" s="30" t="s">
        <v>138</v>
      </c>
      <c r="C4" s="29" t="s">
        <v>128</v>
      </c>
      <c r="D4" s="29" t="s">
        <v>139</v>
      </c>
      <c r="E4" s="29" t="s">
        <v>140</v>
      </c>
      <c r="F4" s="29" t="s">
        <v>131</v>
      </c>
      <c r="G4" s="29" t="s">
        <v>141</v>
      </c>
      <c r="H4" s="29" t="s">
        <v>132</v>
      </c>
      <c r="I4" s="29" t="s">
        <v>132</v>
      </c>
    </row>
    <row r="5" spans="1:9" ht="10.5" x14ac:dyDescent="0.25">
      <c r="A5" s="29" t="s">
        <v>142</v>
      </c>
      <c r="B5" s="29" t="s">
        <v>143</v>
      </c>
      <c r="C5" s="29" t="s">
        <v>128</v>
      </c>
      <c r="D5" s="29" t="s">
        <v>139</v>
      </c>
      <c r="E5" s="29" t="s">
        <v>140</v>
      </c>
      <c r="F5" s="29" t="s">
        <v>131</v>
      </c>
      <c r="G5" s="29" t="s">
        <v>141</v>
      </c>
      <c r="H5" s="29" t="s">
        <v>132</v>
      </c>
      <c r="I5" s="29" t="s">
        <v>132</v>
      </c>
    </row>
    <row r="6" spans="1:9" ht="10.5" x14ac:dyDescent="0.25">
      <c r="A6" s="29" t="s">
        <v>144</v>
      </c>
      <c r="B6" s="29" t="s">
        <v>145</v>
      </c>
      <c r="C6" s="29" t="s">
        <v>128</v>
      </c>
      <c r="D6" s="29" t="s">
        <v>146</v>
      </c>
      <c r="E6" s="29" t="s">
        <v>147</v>
      </c>
      <c r="F6" s="29" t="s">
        <v>131</v>
      </c>
      <c r="G6" s="29" t="s">
        <v>141</v>
      </c>
      <c r="H6" s="29" t="s">
        <v>132</v>
      </c>
      <c r="I6" s="29" t="s">
        <v>132</v>
      </c>
    </row>
    <row r="7" spans="1:9" ht="10.5" x14ac:dyDescent="0.25">
      <c r="A7" s="29" t="s">
        <v>148</v>
      </c>
      <c r="B7" s="29" t="s">
        <v>149</v>
      </c>
      <c r="C7" s="29" t="s">
        <v>128</v>
      </c>
      <c r="D7" s="29" t="s">
        <v>139</v>
      </c>
      <c r="E7" s="29" t="s">
        <v>140</v>
      </c>
      <c r="F7" s="29" t="s">
        <v>131</v>
      </c>
      <c r="G7" s="29" t="s">
        <v>141</v>
      </c>
      <c r="H7" s="29" t="s">
        <v>132</v>
      </c>
      <c r="I7" s="29" t="s">
        <v>132</v>
      </c>
    </row>
    <row r="8" spans="1:9" ht="10.5" x14ac:dyDescent="0.25">
      <c r="A8" s="29" t="s">
        <v>150</v>
      </c>
      <c r="B8" s="29" t="s">
        <v>151</v>
      </c>
      <c r="C8" s="29" t="s">
        <v>128</v>
      </c>
      <c r="D8" s="29" t="s">
        <v>139</v>
      </c>
      <c r="E8" s="29" t="s">
        <v>140</v>
      </c>
      <c r="F8" s="29" t="s">
        <v>131</v>
      </c>
      <c r="G8" s="29" t="s">
        <v>141</v>
      </c>
      <c r="H8" s="29" t="s">
        <v>132</v>
      </c>
      <c r="I8" s="29" t="s">
        <v>132</v>
      </c>
    </row>
    <row r="9" spans="1:9" ht="10.5" x14ac:dyDescent="0.25">
      <c r="A9" s="29" t="s">
        <v>152</v>
      </c>
      <c r="B9" s="29" t="s">
        <v>153</v>
      </c>
      <c r="C9" s="29" t="s">
        <v>128</v>
      </c>
      <c r="D9" s="29" t="s">
        <v>139</v>
      </c>
      <c r="E9" s="29" t="s">
        <v>140</v>
      </c>
      <c r="F9" s="29" t="s">
        <v>131</v>
      </c>
      <c r="G9" s="29" t="s">
        <v>141</v>
      </c>
      <c r="H9" s="29" t="s">
        <v>132</v>
      </c>
      <c r="I9" s="29" t="s">
        <v>132</v>
      </c>
    </row>
    <row r="10" spans="1:9" ht="10.5" x14ac:dyDescent="0.25">
      <c r="A10" s="29" t="s">
        <v>154</v>
      </c>
      <c r="B10" s="29" t="s">
        <v>155</v>
      </c>
      <c r="C10" s="29" t="s">
        <v>128</v>
      </c>
      <c r="D10" s="29" t="s">
        <v>139</v>
      </c>
      <c r="E10" s="29" t="s">
        <v>140</v>
      </c>
      <c r="F10" s="29" t="s">
        <v>131</v>
      </c>
      <c r="G10" s="29" t="s">
        <v>132</v>
      </c>
      <c r="H10" s="29" t="s">
        <v>132</v>
      </c>
      <c r="I10" s="29" t="s">
        <v>132</v>
      </c>
    </row>
    <row r="11" spans="1:9" ht="10.5" x14ac:dyDescent="0.25">
      <c r="A11" s="29" t="s">
        <v>156</v>
      </c>
      <c r="B11" s="29" t="s">
        <v>157</v>
      </c>
      <c r="C11" s="29" t="s">
        <v>128</v>
      </c>
      <c r="D11" s="29" t="s">
        <v>139</v>
      </c>
      <c r="E11" s="29" t="s">
        <v>140</v>
      </c>
      <c r="F11" s="29" t="s">
        <v>131</v>
      </c>
      <c r="G11" s="29" t="s">
        <v>132</v>
      </c>
      <c r="H11" s="29" t="s">
        <v>132</v>
      </c>
      <c r="I11" s="29" t="s">
        <v>132</v>
      </c>
    </row>
    <row r="12" spans="1:9" ht="10.5" x14ac:dyDescent="0.25">
      <c r="A12" s="29" t="s">
        <v>158</v>
      </c>
      <c r="B12" s="29" t="s">
        <v>159</v>
      </c>
      <c r="C12" s="29" t="s">
        <v>128</v>
      </c>
      <c r="D12" s="29" t="s">
        <v>139</v>
      </c>
      <c r="E12" s="29" t="s">
        <v>140</v>
      </c>
      <c r="F12" s="29" t="s">
        <v>131</v>
      </c>
      <c r="G12" s="29" t="s">
        <v>132</v>
      </c>
      <c r="H12" s="29" t="s">
        <v>132</v>
      </c>
      <c r="I12" s="29" t="s">
        <v>132</v>
      </c>
    </row>
    <row r="13" spans="1:9" ht="10.5" x14ac:dyDescent="0.25">
      <c r="A13" s="29" t="s">
        <v>160</v>
      </c>
      <c r="B13" s="29" t="s">
        <v>161</v>
      </c>
      <c r="C13" s="29" t="s">
        <v>128</v>
      </c>
      <c r="D13" s="29" t="s">
        <v>139</v>
      </c>
      <c r="E13" s="29" t="s">
        <v>140</v>
      </c>
      <c r="F13" s="29" t="s">
        <v>131</v>
      </c>
      <c r="G13" s="29" t="s">
        <v>132</v>
      </c>
      <c r="H13" s="29" t="s">
        <v>132</v>
      </c>
      <c r="I13" s="29" t="s">
        <v>132</v>
      </c>
    </row>
    <row r="14" spans="1:9" ht="10.5" x14ac:dyDescent="0.25">
      <c r="A14" s="29" t="s">
        <v>162</v>
      </c>
      <c r="B14" s="29" t="s">
        <v>163</v>
      </c>
      <c r="C14" s="29" t="s">
        <v>128</v>
      </c>
      <c r="D14" s="29" t="s">
        <v>139</v>
      </c>
      <c r="E14" s="29" t="s">
        <v>140</v>
      </c>
      <c r="F14" s="29" t="s">
        <v>131</v>
      </c>
      <c r="G14" s="29" t="s">
        <v>132</v>
      </c>
      <c r="H14" s="29" t="s">
        <v>132</v>
      </c>
      <c r="I14" s="29" t="s">
        <v>132</v>
      </c>
    </row>
    <row r="15" spans="1:9" ht="10.5" x14ac:dyDescent="0.25">
      <c r="A15" s="29" t="s">
        <v>164</v>
      </c>
      <c r="B15" s="30" t="s">
        <v>165</v>
      </c>
      <c r="C15" s="29" t="s">
        <v>128</v>
      </c>
      <c r="D15" s="29" t="s">
        <v>139</v>
      </c>
      <c r="E15" s="29" t="s">
        <v>140</v>
      </c>
      <c r="F15" s="29" t="s">
        <v>131</v>
      </c>
      <c r="G15" s="29" t="s">
        <v>132</v>
      </c>
      <c r="H15" s="29" t="s">
        <v>132</v>
      </c>
      <c r="I15" s="29" t="s">
        <v>132</v>
      </c>
    </row>
    <row r="16" spans="1:9" ht="10.5" x14ac:dyDescent="0.25">
      <c r="A16" s="29" t="s">
        <v>166</v>
      </c>
      <c r="B16" s="29" t="s">
        <v>167</v>
      </c>
      <c r="C16" s="29" t="s">
        <v>128</v>
      </c>
      <c r="D16" s="29" t="s">
        <v>139</v>
      </c>
      <c r="E16" s="29" t="s">
        <v>140</v>
      </c>
      <c r="F16" s="29" t="s">
        <v>131</v>
      </c>
      <c r="G16" s="29" t="s">
        <v>132</v>
      </c>
      <c r="H16" s="29" t="s">
        <v>132</v>
      </c>
      <c r="I16" s="29" t="s">
        <v>132</v>
      </c>
    </row>
    <row r="17" spans="1:9" ht="10.5" x14ac:dyDescent="0.25">
      <c r="A17" s="29" t="s">
        <v>168</v>
      </c>
      <c r="B17" s="29" t="s">
        <v>169</v>
      </c>
      <c r="C17" s="29" t="s">
        <v>128</v>
      </c>
      <c r="D17" s="29" t="s">
        <v>139</v>
      </c>
      <c r="E17" s="29" t="s">
        <v>140</v>
      </c>
      <c r="F17" s="29" t="s">
        <v>131</v>
      </c>
      <c r="G17" s="29" t="s">
        <v>132</v>
      </c>
      <c r="H17" s="29" t="s">
        <v>132</v>
      </c>
      <c r="I17" s="29" t="s">
        <v>132</v>
      </c>
    </row>
    <row r="18" spans="1:9" ht="10.5" x14ac:dyDescent="0.25">
      <c r="A18" s="29" t="s">
        <v>170</v>
      </c>
      <c r="B18" s="29" t="s">
        <v>171</v>
      </c>
      <c r="C18" s="29" t="s">
        <v>128</v>
      </c>
      <c r="D18" s="29" t="s">
        <v>146</v>
      </c>
      <c r="E18" s="29" t="s">
        <v>147</v>
      </c>
      <c r="F18" s="29" t="s">
        <v>131</v>
      </c>
      <c r="G18" s="29" t="s">
        <v>141</v>
      </c>
      <c r="H18" s="29" t="s">
        <v>132</v>
      </c>
      <c r="I18" s="29" t="s">
        <v>132</v>
      </c>
    </row>
    <row r="19" spans="1:9" ht="10.5" x14ac:dyDescent="0.25">
      <c r="A19" s="29" t="s">
        <v>172</v>
      </c>
      <c r="B19" s="30" t="s">
        <v>173</v>
      </c>
      <c r="C19" s="29" t="s">
        <v>128</v>
      </c>
      <c r="D19" s="29" t="s">
        <v>146</v>
      </c>
      <c r="E19" s="29" t="s">
        <v>147</v>
      </c>
      <c r="F19" s="29" t="s">
        <v>131</v>
      </c>
      <c r="G19" s="29" t="s">
        <v>141</v>
      </c>
      <c r="H19" s="29" t="s">
        <v>132</v>
      </c>
      <c r="I19" s="29" t="s">
        <v>132</v>
      </c>
    </row>
    <row r="20" spans="1:9" ht="10.5" x14ac:dyDescent="0.25">
      <c r="A20" s="29" t="s">
        <v>174</v>
      </c>
      <c r="B20" s="30" t="s">
        <v>175</v>
      </c>
      <c r="C20" s="29" t="s">
        <v>128</v>
      </c>
      <c r="D20" s="29" t="s">
        <v>139</v>
      </c>
      <c r="E20" s="29" t="s">
        <v>140</v>
      </c>
      <c r="F20" s="29" t="s">
        <v>131</v>
      </c>
      <c r="G20" s="29" t="s">
        <v>141</v>
      </c>
      <c r="H20" s="29" t="s">
        <v>132</v>
      </c>
      <c r="I20" s="29" t="s">
        <v>132</v>
      </c>
    </row>
    <row r="21" spans="1:9" ht="10.5" x14ac:dyDescent="0.25">
      <c r="A21" s="29" t="s">
        <v>176</v>
      </c>
      <c r="B21" s="30" t="s">
        <v>177</v>
      </c>
      <c r="C21" s="29" t="s">
        <v>128</v>
      </c>
      <c r="D21" s="29" t="s">
        <v>178</v>
      </c>
      <c r="E21" s="29" t="s">
        <v>179</v>
      </c>
      <c r="F21" s="29" t="s">
        <v>131</v>
      </c>
      <c r="G21" s="29" t="s">
        <v>141</v>
      </c>
      <c r="H21" s="29" t="s">
        <v>132</v>
      </c>
      <c r="I21" s="29" t="s">
        <v>132</v>
      </c>
    </row>
    <row r="22" spans="1:9" ht="10.5" x14ac:dyDescent="0.25">
      <c r="A22" s="29" t="s">
        <v>180</v>
      </c>
      <c r="B22" s="29" t="s">
        <v>143</v>
      </c>
      <c r="C22" s="29" t="s">
        <v>128</v>
      </c>
      <c r="D22" s="29" t="s">
        <v>178</v>
      </c>
      <c r="E22" s="29" t="s">
        <v>179</v>
      </c>
      <c r="F22" s="29" t="s">
        <v>131</v>
      </c>
      <c r="G22" s="29" t="s">
        <v>141</v>
      </c>
      <c r="H22" s="29" t="s">
        <v>132</v>
      </c>
      <c r="I22" s="29" t="s">
        <v>132</v>
      </c>
    </row>
    <row r="23" spans="1:9" ht="10.5" x14ac:dyDescent="0.25">
      <c r="A23" s="29" t="s">
        <v>181</v>
      </c>
      <c r="B23" s="29" t="s">
        <v>182</v>
      </c>
      <c r="C23" s="29" t="s">
        <v>128</v>
      </c>
      <c r="D23" s="29" t="s">
        <v>183</v>
      </c>
      <c r="E23" s="29" t="s">
        <v>184</v>
      </c>
      <c r="F23" s="29" t="s">
        <v>131</v>
      </c>
      <c r="G23" s="29" t="s">
        <v>132</v>
      </c>
      <c r="H23" s="29" t="s">
        <v>132</v>
      </c>
      <c r="I23" s="29" t="s">
        <v>132</v>
      </c>
    </row>
    <row r="24" spans="1:9" ht="10.5" x14ac:dyDescent="0.25">
      <c r="A24" s="29" t="s">
        <v>185</v>
      </c>
      <c r="B24" s="29" t="s">
        <v>186</v>
      </c>
      <c r="C24" s="29" t="s">
        <v>128</v>
      </c>
      <c r="D24" s="29" t="s">
        <v>183</v>
      </c>
      <c r="E24" s="29" t="s">
        <v>184</v>
      </c>
      <c r="F24" s="29" t="s">
        <v>131</v>
      </c>
      <c r="G24" s="29" t="s">
        <v>132</v>
      </c>
      <c r="H24" s="29" t="s">
        <v>132</v>
      </c>
      <c r="I24" s="29" t="s">
        <v>132</v>
      </c>
    </row>
    <row r="25" spans="1:9" ht="10.5" x14ac:dyDescent="0.25">
      <c r="A25" s="29" t="s">
        <v>187</v>
      </c>
      <c r="B25" s="29" t="s">
        <v>188</v>
      </c>
      <c r="C25" s="29" t="s">
        <v>128</v>
      </c>
      <c r="D25" s="29" t="s">
        <v>183</v>
      </c>
      <c r="E25" s="29" t="s">
        <v>184</v>
      </c>
      <c r="F25" s="29" t="s">
        <v>131</v>
      </c>
      <c r="G25" s="29" t="s">
        <v>132</v>
      </c>
      <c r="H25" s="29" t="s">
        <v>132</v>
      </c>
      <c r="I25" s="29" t="s">
        <v>132</v>
      </c>
    </row>
    <row r="26" spans="1:9" ht="10.5" x14ac:dyDescent="0.25">
      <c r="A26" s="29" t="s">
        <v>189</v>
      </c>
      <c r="B26" s="30" t="s">
        <v>190</v>
      </c>
      <c r="C26" s="29" t="s">
        <v>128</v>
      </c>
      <c r="D26" s="29" t="s">
        <v>178</v>
      </c>
      <c r="E26" s="29" t="s">
        <v>179</v>
      </c>
      <c r="F26" s="29" t="s">
        <v>131</v>
      </c>
      <c r="G26" s="29" t="s">
        <v>132</v>
      </c>
      <c r="H26" s="29" t="s">
        <v>132</v>
      </c>
      <c r="I26" s="29" t="s">
        <v>132</v>
      </c>
    </row>
    <row r="27" spans="1:9" ht="10.5" x14ac:dyDescent="0.25">
      <c r="A27" s="29" t="s">
        <v>191</v>
      </c>
      <c r="B27" s="30" t="s">
        <v>192</v>
      </c>
      <c r="C27" s="29" t="s">
        <v>128</v>
      </c>
      <c r="D27" s="29" t="s">
        <v>178</v>
      </c>
      <c r="E27" s="29" t="s">
        <v>179</v>
      </c>
      <c r="F27" s="29" t="s">
        <v>131</v>
      </c>
      <c r="G27" s="29" t="s">
        <v>132</v>
      </c>
      <c r="H27" s="29" t="s">
        <v>132</v>
      </c>
      <c r="I27" s="29" t="s">
        <v>132</v>
      </c>
    </row>
    <row r="28" spans="1:9" ht="10.5" x14ac:dyDescent="0.25">
      <c r="A28" s="29" t="s">
        <v>193</v>
      </c>
      <c r="B28" s="29" t="s">
        <v>194</v>
      </c>
      <c r="C28" s="29" t="s">
        <v>128</v>
      </c>
      <c r="D28" s="29" t="s">
        <v>195</v>
      </c>
      <c r="E28" s="29" t="s">
        <v>15</v>
      </c>
      <c r="F28" s="29" t="s">
        <v>131</v>
      </c>
      <c r="G28" s="29" t="s">
        <v>132</v>
      </c>
      <c r="H28" s="29" t="s">
        <v>132</v>
      </c>
      <c r="I28" s="29" t="s">
        <v>132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ARPA Update</vt:lpstr>
      <vt:lpstr>Sheet1</vt:lpstr>
      <vt:lpstr>QCT Maps</vt:lpstr>
      <vt:lpstr>Proposed Projects</vt:lpstr>
      <vt:lpstr>Sub-Recipient Risk Assessment</vt:lpstr>
      <vt:lpstr>ARPA Expenditure Accounts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Carley Woodruff</dc:creator>
  <cp:lastModifiedBy>Dina DeLawter-Myers</cp:lastModifiedBy>
  <cp:lastPrinted>2024-06-18T17:00:47Z</cp:lastPrinted>
  <dcterms:created xsi:type="dcterms:W3CDTF">2023-07-24T16:11:20Z</dcterms:created>
  <dcterms:modified xsi:type="dcterms:W3CDTF">2024-06-20T17:35:50Z</dcterms:modified>
</cp:coreProperties>
</file>